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255" windowWidth="19320" windowHeight="11760"/>
  </bookViews>
  <sheets>
    <sheet name="Champ - Echantillonnage" sheetId="3" r:id="rId1"/>
    <sheet name="Tubes optiques" sheetId="2" r:id="rId2"/>
    <sheet name="Caméras" sheetId="1" r:id="rId3"/>
  </sheets>
  <definedNames>
    <definedName name="_xlnm._FilterDatabase" localSheetId="2" hidden="1">Caméras!$B$1:$R$130</definedName>
    <definedName name="ASA">'Tubes optiques'!$B$2:$B$6</definedName>
    <definedName name="Astro_Tech">'Tubes optiques'!$B$16:$B$25</definedName>
    <definedName name="Astrophysics">'Tubes optiques'!$B$7:$B$15</definedName>
    <definedName name="ATIK">Caméras!$B$2:$B$11</definedName>
    <definedName name="Autre_Imageur">Caméras!$B$130</definedName>
    <definedName name="Autre_Optique">'Tubes optiques'!$B$140</definedName>
    <definedName name="Basler">Caméras!$B$12:$B$14</definedName>
    <definedName name="Canon">Caméras!$B$15:$B$41</definedName>
    <definedName name="Canon_">'Tubes optiques'!#REF!</definedName>
    <definedName name="Canon_Objectif">'Tubes optiques'!#REF!</definedName>
    <definedName name="Canon_Objectifs">'Tubes optiques'!$B$135:$B$139</definedName>
    <definedName name="Canon_Objectit">'Tubes optiques'!#REF!</definedName>
    <definedName name="Celestron">'Tubes optiques'!$B$26:$B$30</definedName>
    <definedName name="Couleur">'Tubes optiques'!#REF!</definedName>
    <definedName name="Divers">Caméras!$B$129</definedName>
    <definedName name="GSO">'Tubes optiques'!$B$31:$B$34</definedName>
    <definedName name="Imageur">#REF!</definedName>
    <definedName name="iNova">Caméras!$B$42:$B$43</definedName>
    <definedName name="Instrument">#REF!</definedName>
    <definedName name="Lumenera">Caméras!$B$44:$B$46</definedName>
    <definedName name="Marque_Caméra">Caméras!#REF!</definedName>
    <definedName name="Marques">'Tubes optiques'!#REF!</definedName>
    <definedName name="Marques_Caméra">Caméras!#REF!</definedName>
    <definedName name="Marques_Caméras">Caméras!$A$133:$A$148</definedName>
    <definedName name="Marques_OTA">'Tubes optiques'!$A$143:$A$159</definedName>
    <definedName name="Meade">'Tubes optiques'!$B$35:$B$42</definedName>
    <definedName name="Nikon">Caméras!$B$47:$B$69</definedName>
    <definedName name="Nova_CCD">Caméras!$B$100:$B$105</definedName>
    <definedName name="Officina_Stellare">'Tubes optiques'!$B$43:$B$58</definedName>
    <definedName name="Orion">'Tubes optiques'!$B$59:$B$67</definedName>
    <definedName name="QHY_CCD">Caméras!$B$70:$B$78</definedName>
    <definedName name="QSI">Caméras!$B$79:$B$84</definedName>
    <definedName name="SBIG">Caméras!$B$85:$B$99</definedName>
    <definedName name="Sony">Caméras!$B$106:$B$107</definedName>
    <definedName name="Starlight_Xpress">Caméras!$B$108:$B$114</definedName>
    <definedName name="Takahashi">'Tubes optiques'!$B$75:$B$99</definedName>
    <definedName name="TEC">'Tubes optiques'!$B$100:$B$103</definedName>
    <definedName name="Televue">'Tubes optiques'!$B$104:$B$109</definedName>
    <definedName name="The_Imaging_Source">Caméras!$B$115:$B$118</definedName>
    <definedName name="TMB">'Tubes optiques'!$B$110:$B$112</definedName>
    <definedName name="Vixen">'Tubes optiques'!$B$113:$B$126</definedName>
    <definedName name="William_Optics">'Tubes optiques'!$B$127:$B$134</definedName>
    <definedName name="ZWO">Caméras!$B$119:$B$127</definedName>
    <definedName name="λ">'Tubes optiques'!$H$2:$H$12</definedName>
  </definedNames>
  <calcPr calcId="125725" concurrentCalc="0"/>
</workbook>
</file>

<file path=xl/calcChain.xml><?xml version="1.0" encoding="utf-8"?>
<calcChain xmlns="http://schemas.openxmlformats.org/spreadsheetml/2006/main">
  <c r="R9" i="3"/>
  <c r="R10"/>
  <c r="Q9"/>
  <c r="Q10"/>
  <c r="P14"/>
  <c r="P9"/>
  <c r="J127" i="1"/>
  <c r="F127"/>
  <c r="E127"/>
  <c r="J126"/>
  <c r="F126"/>
  <c r="E126"/>
  <c r="P10" i="3"/>
  <c r="G31" i="1"/>
  <c r="H31"/>
  <c r="J31"/>
  <c r="E30"/>
  <c r="F30"/>
  <c r="I30"/>
  <c r="G30"/>
  <c r="H30"/>
  <c r="J30"/>
  <c r="F125"/>
  <c r="E125"/>
  <c r="E124"/>
  <c r="F124"/>
  <c r="J124"/>
  <c r="E107"/>
  <c r="F107"/>
  <c r="J107"/>
  <c r="E106"/>
  <c r="F106"/>
  <c r="J106"/>
  <c r="E76"/>
  <c r="F76"/>
  <c r="J76"/>
  <c r="E77"/>
  <c r="F77"/>
  <c r="J77"/>
  <c r="E78"/>
  <c r="F78"/>
  <c r="J78"/>
  <c r="E71"/>
  <c r="F71"/>
  <c r="J71"/>
  <c r="E72"/>
  <c r="F72"/>
  <c r="J72"/>
  <c r="E73"/>
  <c r="F73"/>
  <c r="J73"/>
  <c r="E74"/>
  <c r="F74"/>
  <c r="J74"/>
  <c r="E75"/>
  <c r="F75"/>
  <c r="J75"/>
  <c r="E8"/>
  <c r="E9"/>
  <c r="E10"/>
  <c r="F8"/>
  <c r="F9"/>
  <c r="F10"/>
  <c r="G8"/>
  <c r="I8"/>
  <c r="H8"/>
  <c r="I9"/>
  <c r="H9"/>
  <c r="I10"/>
  <c r="F72" i="2"/>
  <c r="E72"/>
  <c r="J120" i="1"/>
  <c r="J121"/>
  <c r="F70"/>
  <c r="E70"/>
  <c r="F123"/>
  <c r="E123"/>
  <c r="F122"/>
  <c r="E122"/>
  <c r="F121"/>
  <c r="E121"/>
  <c r="F120"/>
  <c r="E120"/>
  <c r="F119"/>
  <c r="E119"/>
  <c r="J70"/>
  <c r="J119"/>
  <c r="V9" i="3"/>
  <c r="J42" i="1"/>
  <c r="F42"/>
  <c r="E42"/>
  <c r="J43"/>
  <c r="F43"/>
  <c r="E43"/>
  <c r="D140" i="2"/>
  <c r="C140"/>
  <c r="G13" i="3"/>
  <c r="G12"/>
  <c r="W14"/>
  <c r="I12" i="2"/>
  <c r="I130" i="1"/>
  <c r="E130"/>
  <c r="F130"/>
  <c r="F79"/>
  <c r="E79"/>
  <c r="M25" i="3"/>
  <c r="M24"/>
  <c r="M23"/>
  <c r="M22"/>
  <c r="M21"/>
  <c r="M20"/>
  <c r="M19"/>
  <c r="M18"/>
  <c r="J79" i="1"/>
  <c r="M14" i="3"/>
  <c r="M13"/>
  <c r="M12"/>
  <c r="M11"/>
  <c r="E12"/>
  <c r="E11"/>
  <c r="H11" i="2"/>
  <c r="H10"/>
  <c r="H9"/>
  <c r="H8"/>
  <c r="H7"/>
  <c r="H6"/>
  <c r="H5"/>
  <c r="H4"/>
  <c r="H3"/>
  <c r="F120"/>
  <c r="H2"/>
  <c r="F124"/>
  <c r="F108"/>
  <c r="F92"/>
  <c r="F84"/>
  <c r="F75"/>
  <c r="F60"/>
  <c r="F52"/>
  <c r="F44"/>
  <c r="F36"/>
  <c r="F30"/>
  <c r="F24"/>
  <c r="F19"/>
  <c r="F14"/>
  <c r="F9"/>
  <c r="F5"/>
  <c r="C136"/>
  <c r="F136"/>
  <c r="C137"/>
  <c r="C138"/>
  <c r="C139"/>
  <c r="E81"/>
  <c r="E34"/>
  <c r="E33"/>
  <c r="E32"/>
  <c r="E31"/>
  <c r="E51"/>
  <c r="E58"/>
  <c r="E57"/>
  <c r="E56"/>
  <c r="E55"/>
  <c r="E54"/>
  <c r="E53"/>
  <c r="E52"/>
  <c r="E50"/>
  <c r="E49"/>
  <c r="E48"/>
  <c r="E47"/>
  <c r="E46"/>
  <c r="E45"/>
  <c r="E44"/>
  <c r="E43"/>
  <c r="E25"/>
  <c r="E24"/>
  <c r="E23"/>
  <c r="E22"/>
  <c r="E21"/>
  <c r="E20"/>
  <c r="E19"/>
  <c r="E17"/>
  <c r="E18"/>
  <c r="E27"/>
  <c r="E16"/>
  <c r="E129"/>
  <c r="E134"/>
  <c r="E133"/>
  <c r="E132"/>
  <c r="E131"/>
  <c r="E130"/>
  <c r="E128"/>
  <c r="E127"/>
  <c r="E108"/>
  <c r="E107"/>
  <c r="E106"/>
  <c r="E105"/>
  <c r="E7"/>
  <c r="J50" i="1"/>
  <c r="J49"/>
  <c r="I48"/>
  <c r="I49"/>
  <c r="I50"/>
  <c r="I51"/>
  <c r="J48"/>
  <c r="J47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47"/>
  <c r="I37"/>
  <c r="J37"/>
  <c r="I38"/>
  <c r="J38"/>
  <c r="J16"/>
  <c r="I16"/>
  <c r="J15"/>
  <c r="I15"/>
  <c r="J25"/>
  <c r="J26"/>
  <c r="J27"/>
  <c r="J28"/>
  <c r="J29"/>
  <c r="J32"/>
  <c r="J33"/>
  <c r="J34"/>
  <c r="J35"/>
  <c r="J36"/>
  <c r="J39"/>
  <c r="J40"/>
  <c r="J41"/>
  <c r="J19"/>
  <c r="J20"/>
  <c r="J21"/>
  <c r="J22"/>
  <c r="J23"/>
  <c r="I24"/>
  <c r="I19"/>
  <c r="I20"/>
  <c r="I21"/>
  <c r="I22"/>
  <c r="I23"/>
  <c r="I25"/>
  <c r="I26"/>
  <c r="I27"/>
  <c r="I28"/>
  <c r="I29"/>
  <c r="I32"/>
  <c r="I33"/>
  <c r="I34"/>
  <c r="I35"/>
  <c r="I36"/>
  <c r="I39"/>
  <c r="I40"/>
  <c r="I41"/>
  <c r="I17"/>
  <c r="I18"/>
  <c r="J18"/>
  <c r="J17"/>
  <c r="J24"/>
  <c r="J129"/>
  <c r="E126" i="2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0"/>
  <c r="E79"/>
  <c r="E78"/>
  <c r="E77"/>
  <c r="E76"/>
  <c r="E75"/>
  <c r="E67"/>
  <c r="E66"/>
  <c r="E65"/>
  <c r="E64"/>
  <c r="E63"/>
  <c r="E62"/>
  <c r="E61"/>
  <c r="E60"/>
  <c r="E59"/>
  <c r="E42"/>
  <c r="E41"/>
  <c r="E40"/>
  <c r="E39"/>
  <c r="E38"/>
  <c r="E37"/>
  <c r="E36"/>
  <c r="E35"/>
  <c r="E30"/>
  <c r="E29"/>
  <c r="E28"/>
  <c r="E26"/>
  <c r="E15"/>
  <c r="E14"/>
  <c r="E13"/>
  <c r="E12"/>
  <c r="E11"/>
  <c r="E10"/>
  <c r="E9"/>
  <c r="E8"/>
  <c r="E6"/>
  <c r="E5"/>
  <c r="E4"/>
  <c r="E3"/>
  <c r="E2"/>
  <c r="F129" i="1"/>
  <c r="E129"/>
  <c r="J118"/>
  <c r="F118"/>
  <c r="E118"/>
  <c r="J117"/>
  <c r="F117"/>
  <c r="E117"/>
  <c r="J116"/>
  <c r="F116"/>
  <c r="E116"/>
  <c r="J115"/>
  <c r="F115"/>
  <c r="E115"/>
  <c r="J114"/>
  <c r="F114"/>
  <c r="E114"/>
  <c r="J113"/>
  <c r="F113"/>
  <c r="E113"/>
  <c r="J112"/>
  <c r="F112"/>
  <c r="E112"/>
  <c r="J111"/>
  <c r="F111"/>
  <c r="E111"/>
  <c r="J110"/>
  <c r="F110"/>
  <c r="E110"/>
  <c r="J109"/>
  <c r="F109"/>
  <c r="E109"/>
  <c r="J108"/>
  <c r="F108"/>
  <c r="E108"/>
  <c r="J105"/>
  <c r="F105"/>
  <c r="E105"/>
  <c r="J104"/>
  <c r="F104"/>
  <c r="E104"/>
  <c r="J103"/>
  <c r="F103"/>
  <c r="E103"/>
  <c r="J102"/>
  <c r="F102"/>
  <c r="E102"/>
  <c r="J101"/>
  <c r="F101"/>
  <c r="E101"/>
  <c r="J100"/>
  <c r="F100"/>
  <c r="E100"/>
  <c r="J99"/>
  <c r="F99"/>
  <c r="E99"/>
  <c r="J98"/>
  <c r="F98"/>
  <c r="E98"/>
  <c r="J97"/>
  <c r="F97"/>
  <c r="E97"/>
  <c r="J96"/>
  <c r="F96"/>
  <c r="E96"/>
  <c r="J95"/>
  <c r="F95"/>
  <c r="E95"/>
  <c r="J94"/>
  <c r="F94"/>
  <c r="E94"/>
  <c r="J93"/>
  <c r="F93"/>
  <c r="E93"/>
  <c r="J92"/>
  <c r="F92"/>
  <c r="E92"/>
  <c r="J91"/>
  <c r="F91"/>
  <c r="E91"/>
  <c r="J90"/>
  <c r="F90"/>
  <c r="E90"/>
  <c r="J89"/>
  <c r="F89"/>
  <c r="E89"/>
  <c r="J88"/>
  <c r="F88"/>
  <c r="E88"/>
  <c r="J87"/>
  <c r="F87"/>
  <c r="E87"/>
  <c r="J86"/>
  <c r="F86"/>
  <c r="E86"/>
  <c r="J85"/>
  <c r="F85"/>
  <c r="E85"/>
  <c r="J84"/>
  <c r="F84"/>
  <c r="E84"/>
  <c r="J83"/>
  <c r="F83"/>
  <c r="E83"/>
  <c r="J82"/>
  <c r="F82"/>
  <c r="E82"/>
  <c r="J81"/>
  <c r="F81"/>
  <c r="E81"/>
  <c r="J80"/>
  <c r="F80"/>
  <c r="E80"/>
  <c r="J46"/>
  <c r="F46"/>
  <c r="E46"/>
  <c r="J45"/>
  <c r="F45"/>
  <c r="E45"/>
  <c r="J44"/>
  <c r="F44"/>
  <c r="E44"/>
  <c r="J14"/>
  <c r="F14"/>
  <c r="E14"/>
  <c r="J13"/>
  <c r="F13"/>
  <c r="E13"/>
  <c r="J12"/>
  <c r="F12"/>
  <c r="E12"/>
  <c r="J11"/>
  <c r="F11"/>
  <c r="E11"/>
  <c r="J7"/>
  <c r="M17" i="3"/>
  <c r="F7" i="1"/>
  <c r="E7"/>
  <c r="J6"/>
  <c r="F6"/>
  <c r="E6"/>
  <c r="J5"/>
  <c r="F5"/>
  <c r="E5"/>
  <c r="J4"/>
  <c r="F4"/>
  <c r="E4"/>
  <c r="J3"/>
  <c r="F3"/>
  <c r="E3"/>
  <c r="J2"/>
  <c r="F2"/>
  <c r="E2"/>
  <c r="J125"/>
  <c r="G10"/>
  <c r="G9"/>
  <c r="J9"/>
  <c r="J8"/>
  <c r="J10"/>
  <c r="H10"/>
  <c r="M15" i="3"/>
  <c r="F138" i="2"/>
  <c r="F3"/>
  <c r="F7"/>
  <c r="F11"/>
  <c r="F16"/>
  <c r="F22"/>
  <c r="F27"/>
  <c r="S14" i="3"/>
  <c r="F32" i="2"/>
  <c r="F40"/>
  <c r="F48"/>
  <c r="F56"/>
  <c r="F64"/>
  <c r="F79"/>
  <c r="F88"/>
  <c r="F100"/>
  <c r="F116"/>
  <c r="F132"/>
  <c r="H130" i="1"/>
  <c r="E140" i="2"/>
  <c r="E13" i="3"/>
  <c r="F139" i="2"/>
  <c r="F1"/>
  <c r="F6"/>
  <c r="F10"/>
  <c r="F15"/>
  <c r="F20"/>
  <c r="F26"/>
  <c r="F31"/>
  <c r="F39"/>
  <c r="F47"/>
  <c r="F55"/>
  <c r="F63"/>
  <c r="F78"/>
  <c r="F87"/>
  <c r="F96"/>
  <c r="F112"/>
  <c r="F128"/>
  <c r="F137"/>
  <c r="F4"/>
  <c r="F8"/>
  <c r="F12"/>
  <c r="F18"/>
  <c r="F23"/>
  <c r="F28"/>
  <c r="F35"/>
  <c r="F43"/>
  <c r="F51"/>
  <c r="F59"/>
  <c r="F67"/>
  <c r="F83"/>
  <c r="F91"/>
  <c r="F104"/>
  <c r="F81"/>
  <c r="G130" i="1"/>
  <c r="F13" i="2"/>
  <c r="F17"/>
  <c r="F21"/>
  <c r="F25"/>
  <c r="F29"/>
  <c r="F33"/>
  <c r="F37"/>
  <c r="F41"/>
  <c r="F45"/>
  <c r="F49"/>
  <c r="F53"/>
  <c r="F57"/>
  <c r="F61"/>
  <c r="F65"/>
  <c r="F76"/>
  <c r="F80"/>
  <c r="F85"/>
  <c r="F89"/>
  <c r="F93"/>
  <c r="F97"/>
  <c r="F101"/>
  <c r="F105"/>
  <c r="F109"/>
  <c r="F113"/>
  <c r="F117"/>
  <c r="F121"/>
  <c r="F125"/>
  <c r="F129"/>
  <c r="F133"/>
  <c r="F140"/>
  <c r="F95"/>
  <c r="F99"/>
  <c r="F103"/>
  <c r="F107"/>
  <c r="F111"/>
  <c r="F115"/>
  <c r="F119"/>
  <c r="F123"/>
  <c r="F127"/>
  <c r="F131"/>
  <c r="F135"/>
  <c r="M16" i="3"/>
  <c r="F34" i="2"/>
  <c r="F38"/>
  <c r="F42"/>
  <c r="F46"/>
  <c r="F50"/>
  <c r="F54"/>
  <c r="F58"/>
  <c r="F62"/>
  <c r="F66"/>
  <c r="F77"/>
  <c r="F82"/>
  <c r="F86"/>
  <c r="F90"/>
  <c r="F94"/>
  <c r="F98"/>
  <c r="F102"/>
  <c r="F106"/>
  <c r="F110"/>
  <c r="F114"/>
  <c r="F118"/>
  <c r="F122"/>
  <c r="F126"/>
  <c r="F130"/>
  <c r="F134"/>
  <c r="F2"/>
  <c r="W13" i="3"/>
  <c r="Q15"/>
  <c r="W15"/>
  <c r="E14"/>
  <c r="Q14"/>
  <c r="J130" i="1"/>
  <c r="J122"/>
  <c r="J123"/>
</calcChain>
</file>

<file path=xl/sharedStrings.xml><?xml version="1.0" encoding="utf-8"?>
<sst xmlns="http://schemas.openxmlformats.org/spreadsheetml/2006/main" count="812" uniqueCount="527">
  <si>
    <t>Marque</t>
  </si>
  <si>
    <t>Modèle</t>
  </si>
  <si>
    <t>Capteur</t>
  </si>
  <si>
    <t>Type</t>
  </si>
  <si>
    <t>Largeur (mm)</t>
  </si>
  <si>
    <t>Hauteur (mm)</t>
  </si>
  <si>
    <t>Largeur (pixels)</t>
  </si>
  <si>
    <t>Hauteur (pixels)</t>
  </si>
  <si>
    <t>Cadence (im/s)</t>
  </si>
  <si>
    <t>Numérisation (bits)</t>
  </si>
  <si>
    <t>Bruit de lecture</t>
  </si>
  <si>
    <t>Courant d'obscurité à 0°C</t>
  </si>
  <si>
    <t>Temps de chargement d'une image</t>
  </si>
  <si>
    <t>Capacité des pixels</t>
  </si>
  <si>
    <t>Refroidissement</t>
  </si>
  <si>
    <t>ATIK</t>
  </si>
  <si>
    <t>314L</t>
  </si>
  <si>
    <t>Sony ICX285AL</t>
  </si>
  <si>
    <t>CCD</t>
  </si>
  <si>
    <t>4 e- rms</t>
  </si>
  <si>
    <t>ΔT - 25°C</t>
  </si>
  <si>
    <t>320E</t>
  </si>
  <si>
    <t>Sony ICX274AL</t>
  </si>
  <si>
    <t>3 e- rms</t>
  </si>
  <si>
    <t>383L+</t>
  </si>
  <si>
    <t>Kodak KAF-8300</t>
  </si>
  <si>
    <t>7 e- rms</t>
  </si>
  <si>
    <t>ΔT -40°C</t>
  </si>
  <si>
    <t>Kodak KAI-4022</t>
  </si>
  <si>
    <t>11 e- rms</t>
  </si>
  <si>
    <t>0,01 e-/s à -20°C</t>
  </si>
  <si>
    <t>40000 e-</t>
  </si>
  <si>
    <t>4000LE</t>
  </si>
  <si>
    <t>ΔT -33°C</t>
  </si>
  <si>
    <t>Kodak KAI 11002</t>
  </si>
  <si>
    <t>13 e- rms</t>
  </si>
  <si>
    <t>0,03 e-/s à -20°C</t>
  </si>
  <si>
    <t>60000 e-</t>
  </si>
  <si>
    <t>ΔT -38°C</t>
  </si>
  <si>
    <t>Titan</t>
  </si>
  <si>
    <t>Sony ICX424</t>
  </si>
  <si>
    <t>ΔT - 20°C</t>
  </si>
  <si>
    <t>Basler</t>
  </si>
  <si>
    <t>acA640-100gm</t>
  </si>
  <si>
    <t>Sony ICX618</t>
  </si>
  <si>
    <t>102 / 122</t>
  </si>
  <si>
    <t>10,6 bits</t>
  </si>
  <si>
    <t>acA1300-30gm</t>
  </si>
  <si>
    <t>Sony ICX445</t>
  </si>
  <si>
    <t>9,5 bits</t>
  </si>
  <si>
    <t>acA1600-20gm</t>
  </si>
  <si>
    <t>Sony ICX274</t>
  </si>
  <si>
    <t>10,1 bits</t>
  </si>
  <si>
    <t>Lumenera</t>
  </si>
  <si>
    <t>SKYnyx 2,0</t>
  </si>
  <si>
    <t>8 ou 12</t>
  </si>
  <si>
    <t>SKYnyx 2,1</t>
  </si>
  <si>
    <t>Sony ICX205</t>
  </si>
  <si>
    <t>SKYnyx 2,2</t>
  </si>
  <si>
    <t>QSI</t>
  </si>
  <si>
    <t>70 dB</t>
  </si>
  <si>
    <t>8 e-</t>
  </si>
  <si>
    <t>0,02 e-/s à -10°C</t>
  </si>
  <si>
    <t>&lt; 21 s</t>
  </si>
  <si>
    <t>25500 e-</t>
  </si>
  <si>
    <t>74 dB</t>
  </si>
  <si>
    <t>&lt; 8 e-</t>
  </si>
  <si>
    <t>0,1 e-/s à 0°C</t>
  </si>
  <si>
    <t>&lt; 11 s</t>
  </si>
  <si>
    <t>Kodak KAF-3200</t>
  </si>
  <si>
    <t>77 dB</t>
  </si>
  <si>
    <t>7 e-</t>
  </si>
  <si>
    <t>0,5 e-/s à 0°C</t>
  </si>
  <si>
    <t>&lt; 8 s</t>
  </si>
  <si>
    <t>55000 e-</t>
  </si>
  <si>
    <t>Kodak KAI-2020</t>
  </si>
  <si>
    <t>&lt; 5 s</t>
  </si>
  <si>
    <t>45000 e-</t>
  </si>
  <si>
    <t>Kodak KAF-1603</t>
  </si>
  <si>
    <t>76 dB</t>
  </si>
  <si>
    <t>15 e-</t>
  </si>
  <si>
    <t>1 e-/s à 0°C</t>
  </si>
  <si>
    <t>&lt; 4 s</t>
  </si>
  <si>
    <t>100000 e-</t>
  </si>
  <si>
    <t>Kodak KAF-0402</t>
  </si>
  <si>
    <t>&lt; 1 s</t>
  </si>
  <si>
    <t>SBIG</t>
  </si>
  <si>
    <t>ST-402</t>
  </si>
  <si>
    <t>Kodak KAF-0402ME</t>
  </si>
  <si>
    <t>17 e-</t>
  </si>
  <si>
    <t>1 e-/s  à 0°C</t>
  </si>
  <si>
    <t xml:space="preserve">&lt; 1 s </t>
  </si>
  <si>
    <t>ST-7</t>
  </si>
  <si>
    <t>15e-</t>
  </si>
  <si>
    <t xml:space="preserve">1 s. </t>
  </si>
  <si>
    <t>ST-8</t>
  </si>
  <si>
    <t>Kodak KAF-1603ME</t>
  </si>
  <si>
    <t xml:space="preserve">4 s. </t>
  </si>
  <si>
    <t>ST-9</t>
  </si>
  <si>
    <t>Kodak KAF-0261E</t>
  </si>
  <si>
    <t>5 e-/s  à 0°C</t>
  </si>
  <si>
    <t xml:space="preserve">&lt; 1 s. </t>
  </si>
  <si>
    <t>ST-10</t>
  </si>
  <si>
    <t>Kodak KAF-3200ME</t>
  </si>
  <si>
    <t>8.8 e-</t>
  </si>
  <si>
    <t xml:space="preserve">8 s. </t>
  </si>
  <si>
    <t>ST-1603</t>
  </si>
  <si>
    <t xml:space="preserve">2 s. </t>
  </si>
  <si>
    <t>ST-2000</t>
  </si>
  <si>
    <t>Kodak KAI-2020M</t>
  </si>
  <si>
    <t>7.9 e-</t>
  </si>
  <si>
    <t>0.3 e-/s  à 0°C</t>
  </si>
  <si>
    <t xml:space="preserve">4.5 s. </t>
  </si>
  <si>
    <t>ST-3200</t>
  </si>
  <si>
    <t>10 e-</t>
  </si>
  <si>
    <t>ST-8300</t>
  </si>
  <si>
    <t>9.3 e-</t>
  </si>
  <si>
    <t xml:space="preserve">7.5 s. </t>
  </si>
  <si>
    <t>STL-1001</t>
  </si>
  <si>
    <t>Kodak KAF-1001E</t>
  </si>
  <si>
    <t xml:space="preserve">15 e- </t>
  </si>
  <si>
    <t>9 e-/s  à 0°C</t>
  </si>
  <si>
    <t xml:space="preserve">2.5 s. </t>
  </si>
  <si>
    <t>STL-11000</t>
  </si>
  <si>
    <t>Kodak KAI-11002M</t>
  </si>
  <si>
    <t>13 e-</t>
  </si>
  <si>
    <t>0.5 e-/s  à 0°C</t>
  </si>
  <si>
    <t xml:space="preserve">26 s. </t>
  </si>
  <si>
    <t>STL-4020</t>
  </si>
  <si>
    <t>Kodak KAI-4022M</t>
  </si>
  <si>
    <t>0.07 e-/s  à 0°C</t>
  </si>
  <si>
    <t xml:space="preserve">10 s. </t>
  </si>
  <si>
    <t>STL-6303</t>
  </si>
  <si>
    <t>Kodak KAF-6303E</t>
  </si>
  <si>
    <t>13.5 e-</t>
  </si>
  <si>
    <t xml:space="preserve">16 s. </t>
  </si>
  <si>
    <t>STX-16803</t>
  </si>
  <si>
    <t>Kodak KAF-16803</t>
  </si>
  <si>
    <t>9 e-</t>
  </si>
  <si>
    <t>0.2 e-/s  à 0°C</t>
  </si>
  <si>
    <t xml:space="preserve">11.5 s. </t>
  </si>
  <si>
    <t>STL Remote Guider</t>
  </si>
  <si>
    <t>Kodak TC-237H</t>
  </si>
  <si>
    <t>15 e-/s  à 0°C</t>
  </si>
  <si>
    <t>Nova-CCD</t>
  </si>
  <si>
    <t>Sigma-16</t>
  </si>
  <si>
    <t>Kodak KAF1603ME</t>
  </si>
  <si>
    <t>12 e-</t>
  </si>
  <si>
    <t>1,2 e-/s à 0°C</t>
  </si>
  <si>
    <t>3,9 s</t>
  </si>
  <si>
    <t>Sigma-32</t>
  </si>
  <si>
    <t>Kodak KAF3200ME</t>
  </si>
  <si>
    <t>0,8 e-/s à 0°C</t>
  </si>
  <si>
    <t>7,8 s</t>
  </si>
  <si>
    <t>Sigma-63</t>
  </si>
  <si>
    <t>Kodak KAF6303E</t>
  </si>
  <si>
    <t>1,0 e-/s à 0°C</t>
  </si>
  <si>
    <t>15 s</t>
  </si>
  <si>
    <t>Sigma-20</t>
  </si>
  <si>
    <t>Kodak KAI2020</t>
  </si>
  <si>
    <t>Sigma-40</t>
  </si>
  <si>
    <t>Kodak KAI4022</t>
  </si>
  <si>
    <t>Sigma-83</t>
  </si>
  <si>
    <t>Kodak KAF8300</t>
  </si>
  <si>
    <t>0,15 e-/s à 0°C</t>
  </si>
  <si>
    <t>20,2 s</t>
  </si>
  <si>
    <t>25000 e-</t>
  </si>
  <si>
    <t>Starlight Xpress</t>
  </si>
  <si>
    <t>SXVF-H5</t>
  </si>
  <si>
    <t>&lt; 13 e- rms</t>
  </si>
  <si>
    <t>0,02 e-/s à +10°C</t>
  </si>
  <si>
    <t>0,3 s</t>
  </si>
  <si>
    <t>30000 e-</t>
  </si>
  <si>
    <t>SXVR-H9</t>
  </si>
  <si>
    <t>&lt; 7 e- rms</t>
  </si>
  <si>
    <t>0,6 s</t>
  </si>
  <si>
    <t>23000 e-</t>
  </si>
  <si>
    <t>SXV-H16</t>
  </si>
  <si>
    <t>Kodak KAI4021M</t>
  </si>
  <si>
    <t>&lt; 10 e- rms</t>
  </si>
  <si>
    <t>0,05 e-/s à +10°C</t>
  </si>
  <si>
    <t>2,5 s</t>
  </si>
  <si>
    <t>SXVR-H18</t>
  </si>
  <si>
    <t>&lt; 8 e- rms</t>
  </si>
  <si>
    <t>4,5 s</t>
  </si>
  <si>
    <t>SXVF-H35</t>
  </si>
  <si>
    <t>&lt; 15 e- rms</t>
  </si>
  <si>
    <t>0,08 e-/s à +10°C</t>
  </si>
  <si>
    <t>7 s</t>
  </si>
  <si>
    <t>50000 e-</t>
  </si>
  <si>
    <t>SXVF-H36</t>
  </si>
  <si>
    <t>Kodak KAI-16000M</t>
  </si>
  <si>
    <t>&lt; 12 e- rms</t>
  </si>
  <si>
    <t>Loadstar</t>
  </si>
  <si>
    <t>Sony ICX429AL</t>
  </si>
  <si>
    <t>8,2×8,4</t>
  </si>
  <si>
    <t>0,1 e-/s à +10°C</t>
  </si>
  <si>
    <t>0,2 s</t>
  </si>
  <si>
    <t>The Imaginig Source</t>
  </si>
  <si>
    <t>DMK 21</t>
  </si>
  <si>
    <t>Sony ICX098</t>
  </si>
  <si>
    <t>DMK 31</t>
  </si>
  <si>
    <t>Sony ICX204</t>
  </si>
  <si>
    <t>DMK 41</t>
  </si>
  <si>
    <t>DMK 51</t>
  </si>
  <si>
    <t>Divers</t>
  </si>
  <si>
    <t>PL1-M ; QHY5 ; Starshoot autooguider</t>
  </si>
  <si>
    <t>MT9M001</t>
  </si>
  <si>
    <t>CMOS</t>
  </si>
  <si>
    <t>Ø (mm)</t>
  </si>
  <si>
    <t>F (mm)</t>
  </si>
  <si>
    <t>F/D</t>
  </si>
  <si>
    <t>ASA</t>
  </si>
  <si>
    <t>8N-OK3</t>
  </si>
  <si>
    <t>10N-OK3</t>
  </si>
  <si>
    <t>12N-OK3</t>
  </si>
  <si>
    <t>16N-OK3</t>
  </si>
  <si>
    <t>20N-OK3</t>
  </si>
  <si>
    <t>Astrophysics</t>
  </si>
  <si>
    <t>160-EDF</t>
  </si>
  <si>
    <t>140-EDF</t>
  </si>
  <si>
    <t>130-EDF "Gran Turismo"</t>
  </si>
  <si>
    <t>155-EDT</t>
  </si>
  <si>
    <t>155-EDF</t>
  </si>
  <si>
    <t>130-EDFS</t>
  </si>
  <si>
    <t>130-EDT</t>
  </si>
  <si>
    <t>105-EDFS "Traveller"</t>
  </si>
  <si>
    <t>Riccardi-Honders-305mm</t>
  </si>
  <si>
    <t>Celestron</t>
  </si>
  <si>
    <t>Meade</t>
  </si>
  <si>
    <t>LX200-8"</t>
  </si>
  <si>
    <t>LX200-10"</t>
  </si>
  <si>
    <t>LX200-12"</t>
  </si>
  <si>
    <t>LX200-14"</t>
  </si>
  <si>
    <t>LX200-16"</t>
  </si>
  <si>
    <t>LX90-8"</t>
  </si>
  <si>
    <t>LX90-10"</t>
  </si>
  <si>
    <t>LX90-12"</t>
  </si>
  <si>
    <t>Orion</t>
  </si>
  <si>
    <t>80-ED</t>
  </si>
  <si>
    <t>ED-80T</t>
  </si>
  <si>
    <t>100-ED</t>
  </si>
  <si>
    <t>ED-102T</t>
  </si>
  <si>
    <t>10" F/3.9</t>
  </si>
  <si>
    <t>Mak-90</t>
  </si>
  <si>
    <t>Mak-102</t>
  </si>
  <si>
    <t>Mak-127</t>
  </si>
  <si>
    <t>Mak-150</t>
  </si>
  <si>
    <t>Takahashi</t>
  </si>
  <si>
    <t>FS-60</t>
  </si>
  <si>
    <t>Sky 90</t>
  </si>
  <si>
    <t>FS-102</t>
  </si>
  <si>
    <t>FS-128</t>
  </si>
  <si>
    <t>FS-152</t>
  </si>
  <si>
    <t>FSQ-85</t>
  </si>
  <si>
    <t>FSQ-106</t>
  </si>
  <si>
    <t>TSA-102</t>
  </si>
  <si>
    <t>TSA-120</t>
  </si>
  <si>
    <t>TOA-130</t>
  </si>
  <si>
    <t>TOA-150</t>
  </si>
  <si>
    <t>ε-130</t>
  </si>
  <si>
    <t>ε-160</t>
  </si>
  <si>
    <t>ε-180</t>
  </si>
  <si>
    <t>ε-200</t>
  </si>
  <si>
    <t>ε-210</t>
  </si>
  <si>
    <t>ε-250</t>
  </si>
  <si>
    <t>ε-300</t>
  </si>
  <si>
    <t>ε-350</t>
  </si>
  <si>
    <t>Mewlon 180</t>
  </si>
  <si>
    <t>Mewlon 210</t>
  </si>
  <si>
    <t>Mewlon 250</t>
  </si>
  <si>
    <t>Mewlon 300</t>
  </si>
  <si>
    <t>BRC-250</t>
  </si>
  <si>
    <t>CN-212</t>
  </si>
  <si>
    <t>TEC</t>
  </si>
  <si>
    <t>140-ED</t>
  </si>
  <si>
    <t>160-ED</t>
  </si>
  <si>
    <t>160-Fluorite</t>
  </si>
  <si>
    <t>180-Fluorite</t>
  </si>
  <si>
    <t>Televue</t>
  </si>
  <si>
    <t>TMB</t>
  </si>
  <si>
    <t>80SS</t>
  </si>
  <si>
    <t>92SS</t>
  </si>
  <si>
    <t>130SS</t>
  </si>
  <si>
    <t>Vixen</t>
  </si>
  <si>
    <t>ED80Sf</t>
  </si>
  <si>
    <t>ED81SWT</t>
  </si>
  <si>
    <t>ED100Sf</t>
  </si>
  <si>
    <t>ED103S</t>
  </si>
  <si>
    <t>ED115S</t>
  </si>
  <si>
    <t>NA140</t>
  </si>
  <si>
    <t>R130SF</t>
  </si>
  <si>
    <t>R200SS</t>
  </si>
  <si>
    <t>VMC95L</t>
  </si>
  <si>
    <t>VMC110L</t>
  </si>
  <si>
    <t>VMC200L</t>
  </si>
  <si>
    <t>VC200L</t>
  </si>
  <si>
    <t>VMC260L</t>
  </si>
  <si>
    <t>VMC330L</t>
  </si>
  <si>
    <t>William Optics</t>
  </si>
  <si>
    <t>Canon</t>
  </si>
  <si>
    <t>300:4</t>
  </si>
  <si>
    <t>En rouge : les résultats</t>
  </si>
  <si>
    <t>Calcul du champ photo et de l'échantillonnage</t>
  </si>
  <si>
    <t>Tube optique</t>
  </si>
  <si>
    <t>Imageur</t>
  </si>
  <si>
    <t>Champ ( ° ' " )</t>
  </si>
  <si>
    <t>Ech.
("/pixel)</t>
  </si>
  <si>
    <t>Largeur</t>
  </si>
  <si>
    <t>Hauteur</t>
  </si>
  <si>
    <t>Diagonale</t>
  </si>
  <si>
    <t>Diamètre</t>
  </si>
  <si>
    <t>Focale</t>
  </si>
  <si>
    <t>Résolution</t>
  </si>
  <si>
    <t>Photosites</t>
  </si>
  <si>
    <t>L (mm)</t>
  </si>
  <si>
    <t>H (mm)</t>
  </si>
  <si>
    <t>Mégapixels</t>
  </si>
  <si>
    <t>Cadence</t>
  </si>
  <si>
    <t>Dynamique réelle</t>
  </si>
  <si>
    <t>Numérisation</t>
  </si>
  <si>
    <t>Courant d'obscurité</t>
  </si>
  <si>
    <t>Temps de chargement</t>
  </si>
  <si>
    <t>Taille d'un objet</t>
  </si>
  <si>
    <t>Pixels (µm)</t>
  </si>
  <si>
    <t>°</t>
  </si>
  <si>
    <t>'</t>
  </si>
  <si>
    <t>"</t>
  </si>
  <si>
    <t>(pixels)</t>
  </si>
  <si>
    <t>Liste des marques</t>
  </si>
  <si>
    <t>EOS 10D</t>
  </si>
  <si>
    <t>Canon_Objectifs</t>
  </si>
  <si>
    <t>Photosites (µm)</t>
  </si>
  <si>
    <t>Dynamique</t>
  </si>
  <si>
    <t>Nikon</t>
  </si>
  <si>
    <t>EOS 1000D</t>
  </si>
  <si>
    <t>EOS 1100D</t>
  </si>
  <si>
    <t>EOS 300D</t>
  </si>
  <si>
    <t>EOS 350D</t>
  </si>
  <si>
    <t>EOS 400D</t>
  </si>
  <si>
    <t>EOS 450D</t>
  </si>
  <si>
    <t>EOS 500D</t>
  </si>
  <si>
    <t>EOS 550D</t>
  </si>
  <si>
    <t>EOS 600D</t>
  </si>
  <si>
    <t>EOS 20D</t>
  </si>
  <si>
    <t>EOS 30D</t>
  </si>
  <si>
    <t>EOS 40D</t>
  </si>
  <si>
    <t>EOS 50D</t>
  </si>
  <si>
    <t>EOS 60D</t>
  </si>
  <si>
    <t>EOS 7D</t>
  </si>
  <si>
    <t>EOS 5D</t>
  </si>
  <si>
    <t>EOS 5D MkII</t>
  </si>
  <si>
    <t>EOS 1D</t>
  </si>
  <si>
    <t>EOS 1D MkII</t>
  </si>
  <si>
    <t>EOS 1D MkIII</t>
  </si>
  <si>
    <t>EOS 1Ds</t>
  </si>
  <si>
    <t>EOS 1Ds MkII</t>
  </si>
  <si>
    <t>EOS 1Ds MkIII</t>
  </si>
  <si>
    <t>EOS 1D MkIV</t>
  </si>
  <si>
    <t>D40</t>
  </si>
  <si>
    <t>D3000</t>
  </si>
  <si>
    <t>D3100</t>
  </si>
  <si>
    <t>D50</t>
  </si>
  <si>
    <t>D60</t>
  </si>
  <si>
    <t>D40X</t>
  </si>
  <si>
    <t>D5000</t>
  </si>
  <si>
    <t>D5100</t>
  </si>
  <si>
    <t>D80</t>
  </si>
  <si>
    <t>D90</t>
  </si>
  <si>
    <t>D7000</t>
  </si>
  <si>
    <t>D100</t>
  </si>
  <si>
    <t>D200</t>
  </si>
  <si>
    <t>D700</t>
  </si>
  <si>
    <t>D1H</t>
  </si>
  <si>
    <t>D1</t>
  </si>
  <si>
    <t>D1x</t>
  </si>
  <si>
    <t>D3X</t>
  </si>
  <si>
    <t>D2H / D2Hs</t>
  </si>
  <si>
    <t>Sony</t>
  </si>
  <si>
    <t>D2x / D2Xs</t>
  </si>
  <si>
    <t>LBCAST</t>
  </si>
  <si>
    <t>D3 / D3S</t>
  </si>
  <si>
    <t>D300 / D300s</t>
  </si>
  <si>
    <t>D70 / D70s</t>
  </si>
  <si>
    <t>ΔT -35°C</t>
  </si>
  <si>
    <t>ΔT -32°C</t>
  </si>
  <si>
    <t>ΔT -50°C</t>
  </si>
  <si>
    <t>24-70:2,8 (24)</t>
  </si>
  <si>
    <t>24-70:2,8 (70)</t>
  </si>
  <si>
    <t>200:2,8</t>
  </si>
  <si>
    <t>100:2,9</t>
  </si>
  <si>
    <t>William_Optics</t>
  </si>
  <si>
    <t>TV 76</t>
  </si>
  <si>
    <t>TV 85</t>
  </si>
  <si>
    <t>TV 60 / TV 60is</t>
  </si>
  <si>
    <t>C8</t>
  </si>
  <si>
    <t>C9</t>
  </si>
  <si>
    <t>C11</t>
  </si>
  <si>
    <t>C14</t>
  </si>
  <si>
    <t>TV NP-101 / TV NP-101is</t>
  </si>
  <si>
    <t>TV 102 / TV 102is</t>
  </si>
  <si>
    <t>TV NP127is</t>
  </si>
  <si>
    <t>Megrez 72</t>
  </si>
  <si>
    <t>Megrez 90 APO</t>
  </si>
  <si>
    <t>FLT98 APO</t>
  </si>
  <si>
    <t>Zenithstar 80 APO</t>
  </si>
  <si>
    <t>FLT110 (Optique TMB)</t>
  </si>
  <si>
    <t>Megrez 120</t>
  </si>
  <si>
    <t>FLT 132</t>
  </si>
  <si>
    <t>Triplet APO 80/480</t>
  </si>
  <si>
    <t>Atro-Tech</t>
  </si>
  <si>
    <t>AT80LE</t>
  </si>
  <si>
    <t>ONYX 80ED</t>
  </si>
  <si>
    <t>AT65EDQ</t>
  </si>
  <si>
    <t>AT72ED</t>
  </si>
  <si>
    <t>AT90EDT</t>
  </si>
  <si>
    <t>AT106</t>
  </si>
  <si>
    <t>AT111EDT</t>
  </si>
  <si>
    <t>AT130</t>
  </si>
  <si>
    <t>RC 8"</t>
  </si>
  <si>
    <t>RC 10"</t>
  </si>
  <si>
    <t>RC 12"</t>
  </si>
  <si>
    <t>RC 6"</t>
  </si>
  <si>
    <t>Officina Stellare</t>
  </si>
  <si>
    <t>Officina_Stellare</t>
  </si>
  <si>
    <t>Astro_Tech</t>
  </si>
  <si>
    <t>HIPER APO 80</t>
  </si>
  <si>
    <t>HIPER APO 105</t>
  </si>
  <si>
    <t>HIPER APO 115</t>
  </si>
  <si>
    <t>HIPER APO 130</t>
  </si>
  <si>
    <t>HIPER APO 152</t>
  </si>
  <si>
    <t>HIPER APO 180</t>
  </si>
  <si>
    <t>ULTRA CRC 320 ST</t>
  </si>
  <si>
    <t>VELOCE RH 200</t>
  </si>
  <si>
    <t>SUPREMO 250</t>
  </si>
  <si>
    <t>PRO RC 250</t>
  </si>
  <si>
    <t>PRO RC 320 ST</t>
  </si>
  <si>
    <t>PRO RC 360 LT/ST</t>
  </si>
  <si>
    <t>PRO RC 400 LT/ST</t>
  </si>
  <si>
    <t>VELOCE RH 300</t>
  </si>
  <si>
    <t>GSO</t>
  </si>
  <si>
    <t>Echantillonnage idéal</t>
  </si>
  <si>
    <t>Echantillonnage actuel</t>
  </si>
  <si>
    <t>Calcul de champ et d'échantillonage AVEX</t>
  </si>
  <si>
    <t>Mode d'emploi :</t>
  </si>
  <si>
    <t>Barlow - Réducteur
(×)</t>
  </si>
  <si>
    <t>En bleu : les champs à renseigner (liste déroulante ou valeurs à saisir)</t>
  </si>
  <si>
    <t>Turbulence
(")</t>
  </si>
  <si>
    <r>
      <t>2) Dans la case "</t>
    </r>
    <r>
      <rPr>
        <b/>
        <sz val="10"/>
        <rFont val="Arial"/>
        <family val="2"/>
      </rPr>
      <t>Barlow - Réducteur</t>
    </r>
    <r>
      <rPr>
        <sz val="10"/>
        <rFont val="Arial"/>
        <family val="2"/>
      </rPr>
      <t>", saisir au clavier la valeur du coefficient qui va bien (mettre 1 si aucun complément optique n'est utilisé).</t>
    </r>
  </si>
  <si>
    <r>
      <t xml:space="preserve">1) Sélectionner </t>
    </r>
    <r>
      <rPr>
        <b/>
        <sz val="10"/>
        <rFont val="Arial"/>
        <family val="2"/>
      </rPr>
      <t>Marque</t>
    </r>
    <r>
      <rPr>
        <sz val="10"/>
        <rFont val="Arial"/>
        <family val="2"/>
      </rPr>
      <t xml:space="preserve"> et </t>
    </r>
    <r>
      <rPr>
        <b/>
        <sz val="10"/>
        <rFont val="Arial"/>
        <family val="2"/>
      </rPr>
      <t>Modèle</t>
    </r>
    <r>
      <rPr>
        <sz val="10"/>
        <rFont val="Arial"/>
        <family val="2"/>
      </rPr>
      <t xml:space="preserve"> de tube optique et d'imageur au moyen des menus déroulants (cliquer dans les cases idoines pour que les ascenceurs apparaissent).</t>
    </r>
  </si>
  <si>
    <t>λ (nm)</t>
  </si>
  <si>
    <t>Longueur d'onde
considérée</t>
  </si>
  <si>
    <t>Le calcul de l'échantillonnage idéal est fait en appliquant le théorème d'échantillonnage de Nyquist-Shannon à partir du paramètre limitant (résolution instrumentale ou turbulence).</t>
  </si>
  <si>
    <t>Imagerie du ciel profond : amplitude typiquement comprise entre 2" et 4" sur des poses de quelques minutes.</t>
  </si>
  <si>
    <r>
      <t>Imagerie planétaire : amplitude typiquement comprise entre 0,5" et 2" sur un temps de pose généralement inférieur à 0,1 s</t>
    </r>
    <r>
      <rPr>
        <sz val="10"/>
        <color indexed="55"/>
        <rFont val="Arial"/>
        <family val="2"/>
      </rPr>
      <t xml:space="preserve"> (cadence &gt; 10 images/s).</t>
    </r>
  </si>
  <si>
    <t>Vert (550 nm)</t>
  </si>
  <si>
    <t>Valeur utilisateur</t>
  </si>
  <si>
    <t>Choix couleur</t>
  </si>
  <si>
    <t>Starlight_Xpress</t>
  </si>
  <si>
    <t>The_Imaging_Source</t>
  </si>
  <si>
    <r>
      <t>4) Dans la case "</t>
    </r>
    <r>
      <rPr>
        <b/>
        <sz val="10"/>
        <rFont val="Arial"/>
        <family val="2"/>
      </rPr>
      <t>Turbulence</t>
    </r>
    <r>
      <rPr>
        <sz val="10"/>
        <rFont val="Arial"/>
        <family val="2"/>
      </rPr>
      <t xml:space="preserve">", saisir la valeur correspondant à l'amplitude de la turbulence intégrée sur la durée de la pose </t>
    </r>
    <r>
      <rPr>
        <sz val="10"/>
        <color indexed="55"/>
        <rFont val="Arial"/>
        <family val="2"/>
      </rPr>
      <t>(dépend du lieu et des conditions atmosphérique du moment)</t>
    </r>
    <r>
      <rPr>
        <sz val="10"/>
        <rFont val="Arial"/>
        <family val="2"/>
      </rPr>
      <t xml:space="preserve"> :</t>
    </r>
  </si>
  <si>
    <t>3) Sélectionner la longueur d'onde de la lumière utilisée.</t>
  </si>
  <si>
    <r>
      <t xml:space="preserve">3) </t>
    </r>
    <r>
      <rPr>
        <sz val="10"/>
        <rFont val="Arial"/>
        <family val="2"/>
      </rPr>
      <t>La résolution de l'instrument et l'amplitude de la turbulence dépendent de ce paramètre.</t>
    </r>
  </si>
  <si>
    <r>
      <t xml:space="preserve">3) </t>
    </r>
    <r>
      <rPr>
        <sz val="10"/>
        <rFont val="Arial"/>
        <family val="2"/>
      </rPr>
      <t>La valeur généralement prise par défaut est le vert à 550 nm. En cas d'utilisation de filtres colorés, sélectionner la longueur d'onde idoine. L'utilisateur peut aussi choisir une longueur d'ondeUn valeur utilisateur peut être utilisée (rensieigner la case D29)</t>
    </r>
  </si>
  <si>
    <t>Autre</t>
  </si>
  <si>
    <t>Valeurs utilisateur</t>
  </si>
  <si>
    <t>Autre Optique</t>
  </si>
  <si>
    <t>Autre_Optique</t>
  </si>
  <si>
    <t>Autre_Imageur</t>
  </si>
  <si>
    <t>Tube optique, capteur et longueur d'onde non référencés</t>
  </si>
  <si>
    <t>---</t>
  </si>
  <si>
    <t>Si l'instrument souhaité n'apparaît pas dans les menus déroulants, alors sélectionner "Autre_Optique" + "Valeurs utilisateur" et saisir les valeurs idoine dans la section "Tube optique, capteur et longueur d'onde non référencés".</t>
  </si>
  <si>
    <t>Si l'imageur souhaité n'apparaît pas dans les menus déroulants, alors sélectionner "Autre_Imageur" + "Valeurs utilisateur" et saisir les valeurs idoine dans la section "Tube optique, capteur et longueur d'onde non référencés".</t>
  </si>
  <si>
    <t>Il est aussi possible de voir quelle taille (en pixels) fera l'objet imagé sur le capteur en renseignant les cellules "Taille de l'objet" en bleu.</t>
  </si>
  <si>
    <t>Si la longueur d'onde souhaitée n'apparaît pas dans le menu déroulant, alors sélectionner "Valeur utilisateur" et saisir la valeur idoine dans la section "Tube optique, capteur et longueur d'onde non référencés".</t>
  </si>
  <si>
    <r>
      <t>Le calcul de l'échantillonnage apparaît en vert s'il est correct ou en rouge dans le cas contraire, et se fait à partir de la focale résultante de l'instrument</t>
    </r>
    <r>
      <rPr>
        <sz val="10"/>
        <color indexed="55"/>
        <rFont val="Arial"/>
        <family val="2"/>
      </rPr>
      <t xml:space="preserve"> (prend en compte la valeur du champ "Barlow - Réducteur").</t>
    </r>
  </si>
  <si>
    <t>iNova</t>
  </si>
  <si>
    <t>PLA-Mx</t>
  </si>
  <si>
    <t>PLB-Mx</t>
  </si>
  <si>
    <t>ZWO</t>
  </si>
  <si>
    <t>ASI 178MM</t>
  </si>
  <si>
    <t>ASI 120MM</t>
  </si>
  <si>
    <t>ASI 224 MC</t>
  </si>
  <si>
    <t>ASI 1600MM-Cool</t>
  </si>
  <si>
    <t>1,2 e- @30dB gain</t>
  </si>
  <si>
    <t>20000 e-</t>
  </si>
  <si>
    <t>ASI 174MM</t>
  </si>
  <si>
    <t>ASI 185MM</t>
  </si>
  <si>
    <t>MT9M034</t>
  </si>
  <si>
    <t>ΔT - 35°C</t>
  </si>
  <si>
    <t>IMX178</t>
  </si>
  <si>
    <t>IMX224/IMX225</t>
  </si>
  <si>
    <t>IMX174</t>
  </si>
  <si>
    <t>IMX185</t>
  </si>
  <si>
    <t>QHY_CCD</t>
  </si>
  <si>
    <t>QHY5II</t>
  </si>
  <si>
    <t>SkyWatcher</t>
  </si>
  <si>
    <t>QHY174</t>
  </si>
  <si>
    <t>QHY178</t>
  </si>
  <si>
    <t>QHY224</t>
  </si>
  <si>
    <t>QHY290</t>
  </si>
  <si>
    <t>32000 e-</t>
  </si>
  <si>
    <t>15000 e-</t>
  </si>
  <si>
    <t>19000 e-</t>
  </si>
  <si>
    <t>QHY183C</t>
  </si>
  <si>
    <t>QHY163</t>
  </si>
  <si>
    <t>QHY367</t>
  </si>
  <si>
    <t>QHY247</t>
  </si>
  <si>
    <t>IMX224</t>
  </si>
  <si>
    <t>IMX290</t>
  </si>
  <si>
    <t>IMX183</t>
  </si>
  <si>
    <t>18000 e-</t>
  </si>
  <si>
    <t>A7S</t>
  </si>
  <si>
    <t>ASI 290MM/MC</t>
  </si>
  <si>
    <t>14600 e-</t>
  </si>
  <si>
    <t>1 e-</t>
  </si>
  <si>
    <t>Skywatcher</t>
  </si>
  <si>
    <t>IMX071</t>
  </si>
  <si>
    <t>2,3 à 3,3 e-</t>
  </si>
  <si>
    <t>46000 e-</t>
  </si>
  <si>
    <t>ΔT -35/-40°C</t>
  </si>
  <si>
    <t>ΔT -30°C</t>
  </si>
  <si>
    <t>EOS 70D</t>
  </si>
  <si>
    <t>EOS 80D</t>
  </si>
  <si>
    <t>ASI 071MC-Cool</t>
  </si>
  <si>
    <t>ASI 1600MC-Cool</t>
  </si>
  <si>
    <t>© Axel VINCENT AVEX2017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</si>
</sst>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2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28"/>
      <color indexed="47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</font>
    <font>
      <sz val="10"/>
      <color indexed="55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0"/>
      <color indexed="55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8"/>
      </right>
      <top style="thin">
        <color indexed="60"/>
      </top>
      <bottom style="thin">
        <color indexed="60"/>
      </bottom>
      <diagonal/>
    </border>
    <border>
      <left style="thin">
        <color indexed="8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0"/>
      </right>
      <top/>
      <bottom/>
      <diagonal/>
    </border>
  </borders>
  <cellStyleXfs count="4">
    <xf numFmtId="0" fontId="0" fillId="0" borderId="0"/>
    <xf numFmtId="0" fontId="20" fillId="9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" fillId="10" borderId="2" applyAlignment="0">
      <alignment horizontal="left"/>
    </xf>
  </cellStyleXfs>
  <cellXfs count="20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6" fontId="8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2" fontId="1" fillId="3" borderId="0" xfId="0" applyNumberFormat="1" applyFont="1" applyFill="1" applyAlignment="1">
      <alignment horizontal="left" vertical="center"/>
    </xf>
    <xf numFmtId="46" fontId="1" fillId="3" borderId="0" xfId="0" applyNumberFormat="1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" fontId="1" fillId="3" borderId="0" xfId="0" applyNumberFormat="1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164" fontId="8" fillId="3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0" fillId="9" borderId="1" xfId="1" applyBorder="1" applyAlignment="1">
      <alignment horizontal="left"/>
    </xf>
    <xf numFmtId="0" fontId="20" fillId="9" borderId="1" xfId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164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0" fillId="0" borderId="3" xfId="0" applyBorder="1"/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/>
    <xf numFmtId="164" fontId="1" fillId="0" borderId="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2" fontId="1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2" fontId="1" fillId="0" borderId="7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/>
    <xf numFmtId="2" fontId="1" fillId="0" borderId="9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/>
    <xf numFmtId="2" fontId="12" fillId="0" borderId="6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/>
    <xf numFmtId="2" fontId="12" fillId="0" borderId="9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1" fillId="5" borderId="1" xfId="0" applyFont="1" applyFill="1" applyBorder="1" applyAlignment="1"/>
    <xf numFmtId="49" fontId="1" fillId="6" borderId="1" xfId="0" applyNumberFormat="1" applyFont="1" applyFill="1" applyBorder="1" applyAlignment="1">
      <alignment horizontal="left"/>
    </xf>
    <xf numFmtId="1" fontId="1" fillId="6" borderId="1" xfId="0" applyNumberFormat="1" applyFont="1" applyFill="1" applyBorder="1" applyAlignment="1">
      <alignment horizontal="center"/>
    </xf>
    <xf numFmtId="0" fontId="20" fillId="5" borderId="1" xfId="1" applyFill="1" applyBorder="1" applyAlignment="1">
      <alignment horizontal="center"/>
    </xf>
    <xf numFmtId="0" fontId="10" fillId="5" borderId="1" xfId="1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3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8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2" fontId="1" fillId="8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vertical="center" wrapText="1"/>
    </xf>
    <xf numFmtId="2" fontId="1" fillId="4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left"/>
    </xf>
    <xf numFmtId="1" fontId="1" fillId="6" borderId="12" xfId="0" applyNumberFormat="1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2" fontId="1" fillId="6" borderId="12" xfId="0" applyNumberFormat="1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1" fontId="1" fillId="8" borderId="13" xfId="0" applyNumberFormat="1" applyFont="1" applyFill="1" applyBorder="1" applyAlignment="1">
      <alignment horizontal="center"/>
    </xf>
    <xf numFmtId="0" fontId="1" fillId="8" borderId="13" xfId="0" applyFont="1" applyFill="1" applyBorder="1"/>
    <xf numFmtId="2" fontId="1" fillId="8" borderId="1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49" fontId="5" fillId="3" borderId="16" xfId="0" quotePrefix="1" applyNumberFormat="1" applyFont="1" applyFill="1" applyBorder="1" applyAlignment="1">
      <alignment horizontal="center" vertical="center"/>
    </xf>
    <xf numFmtId="0" fontId="17" fillId="0" borderId="0" xfId="2" applyAlignment="1" applyProtection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6" fontId="4" fillId="3" borderId="27" xfId="0" applyNumberFormat="1" applyFont="1" applyFill="1" applyBorder="1" applyAlignment="1">
      <alignment horizontal="center" vertical="center"/>
    </xf>
    <xf numFmtId="165" fontId="19" fillId="3" borderId="24" xfId="0" applyNumberFormat="1" applyFont="1" applyFill="1" applyBorder="1" applyAlignment="1">
      <alignment horizontal="center" vertical="center"/>
    </xf>
    <xf numFmtId="1" fontId="16" fillId="3" borderId="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4" xfId="0" applyBorder="1"/>
    <xf numFmtId="0" fontId="0" fillId="0" borderId="4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" fillId="0" borderId="3" xfId="0" applyFont="1" applyFill="1" applyBorder="1" applyAlignment="1"/>
    <xf numFmtId="2" fontId="1" fillId="0" borderId="3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" fontId="21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18" fillId="3" borderId="25" xfId="0" applyFont="1" applyFill="1" applyBorder="1" applyAlignment="1">
      <alignment horizontal="left"/>
    </xf>
    <xf numFmtId="0" fontId="6" fillId="3" borderId="23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">
    <cellStyle name="20 % - Accent2" xfId="1" builtinId="34"/>
    <cellStyle name="Lien hypertexte" xfId="2" builtinId="8"/>
    <cellStyle name="Normal" xfId="0" builtinId="0"/>
    <cellStyle name="Style 1" xfId="3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border outline="0"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7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ill>
        <patternFill>
          <bgColor theme="6" tint="0.79998168889431442"/>
        </patternFill>
      </fill>
    </dxf>
  </dxfs>
  <tableStyles count="1" defaultTableStyle="TableStyleMedium9" defaultPivotStyle="PivotStyleLight16">
    <tableStyle name="Style de tableau 1" pivot="0" count="1">
      <tableStyleElement type="wholeTable" dxfId="32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jpeg"/><Relationship Id="rId13" Type="http://schemas.openxmlformats.org/officeDocument/2006/relationships/image" Target="../media/image30.png"/><Relationship Id="rId3" Type="http://schemas.openxmlformats.org/officeDocument/2006/relationships/image" Target="../media/image20.png"/><Relationship Id="rId7" Type="http://schemas.openxmlformats.org/officeDocument/2006/relationships/image" Target="../media/image24.jpeg"/><Relationship Id="rId12" Type="http://schemas.openxmlformats.org/officeDocument/2006/relationships/image" Target="../media/image29.png"/><Relationship Id="rId2" Type="http://schemas.openxmlformats.org/officeDocument/2006/relationships/image" Target="../media/image19.png"/><Relationship Id="rId1" Type="http://schemas.openxmlformats.org/officeDocument/2006/relationships/image" Target="../media/image18.jpeg"/><Relationship Id="rId6" Type="http://schemas.openxmlformats.org/officeDocument/2006/relationships/image" Target="../media/image23.png"/><Relationship Id="rId11" Type="http://schemas.openxmlformats.org/officeDocument/2006/relationships/image" Target="../media/image28.png"/><Relationship Id="rId5" Type="http://schemas.openxmlformats.org/officeDocument/2006/relationships/image" Target="../media/image22.jpeg"/><Relationship Id="rId10" Type="http://schemas.openxmlformats.org/officeDocument/2006/relationships/image" Target="../media/image27.jpeg"/><Relationship Id="rId4" Type="http://schemas.openxmlformats.org/officeDocument/2006/relationships/image" Target="../media/image21.jpeg"/><Relationship Id="rId9" Type="http://schemas.openxmlformats.org/officeDocument/2006/relationships/image" Target="../media/image26.jpeg"/><Relationship Id="rId14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2</xdr:col>
      <xdr:colOff>104775</xdr:colOff>
      <xdr:row>6</xdr:row>
      <xdr:rowOff>0</xdr:rowOff>
    </xdr:to>
    <xdr:pic>
      <xdr:nvPicPr>
        <xdr:cNvPr id="1050" name="Image 1" descr="logo-avex_noir-full-fond_transparent.e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28575"/>
          <a:ext cx="14859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104775</xdr:rowOff>
    </xdr:from>
    <xdr:to>
      <xdr:col>1</xdr:col>
      <xdr:colOff>9525</xdr:colOff>
      <xdr:row>13</xdr:row>
      <xdr:rowOff>76200</xdr:rowOff>
    </xdr:to>
    <xdr:pic>
      <xdr:nvPicPr>
        <xdr:cNvPr id="2146" name="Image 2" descr="aplogo-color-web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847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82</xdr:row>
      <xdr:rowOff>152400</xdr:rowOff>
    </xdr:from>
    <xdr:to>
      <xdr:col>0</xdr:col>
      <xdr:colOff>1809750</xdr:colOff>
      <xdr:row>89</xdr:row>
      <xdr:rowOff>142875</xdr:rowOff>
    </xdr:to>
    <xdr:pic>
      <xdr:nvPicPr>
        <xdr:cNvPr id="2147" name="Image 6" descr="5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2458700"/>
          <a:ext cx="1752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</xdr:row>
      <xdr:rowOff>133350</xdr:rowOff>
    </xdr:from>
    <xdr:to>
      <xdr:col>0</xdr:col>
      <xdr:colOff>1771650</xdr:colOff>
      <xdr:row>5</xdr:row>
      <xdr:rowOff>152400</xdr:rowOff>
    </xdr:to>
    <xdr:pic>
      <xdr:nvPicPr>
        <xdr:cNvPr id="2148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457200"/>
          <a:ext cx="1714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95250</xdr:rowOff>
    </xdr:from>
    <xdr:to>
      <xdr:col>1</xdr:col>
      <xdr:colOff>0</xdr:colOff>
      <xdr:row>28</xdr:row>
      <xdr:rowOff>9525</xdr:rowOff>
    </xdr:to>
    <xdr:pic>
      <xdr:nvPicPr>
        <xdr:cNvPr id="2149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305300"/>
          <a:ext cx="18383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36</xdr:row>
      <xdr:rowOff>57150</xdr:rowOff>
    </xdr:from>
    <xdr:to>
      <xdr:col>0</xdr:col>
      <xdr:colOff>1800225</xdr:colOff>
      <xdr:row>39</xdr:row>
      <xdr:rowOff>123825</xdr:rowOff>
    </xdr:to>
    <xdr:pic>
      <xdr:nvPicPr>
        <xdr:cNvPr id="2150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6048375"/>
          <a:ext cx="1790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59</xdr:row>
      <xdr:rowOff>0</xdr:rowOff>
    </xdr:from>
    <xdr:to>
      <xdr:col>0</xdr:col>
      <xdr:colOff>1762125</xdr:colOff>
      <xdr:row>65</xdr:row>
      <xdr:rowOff>57150</xdr:rowOff>
    </xdr:to>
    <xdr:pic>
      <xdr:nvPicPr>
        <xdr:cNvPr id="2151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" y="9715500"/>
          <a:ext cx="17145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600075</xdr:colOff>
      <xdr:row>98</xdr:row>
      <xdr:rowOff>152400</xdr:rowOff>
    </xdr:from>
    <xdr:to>
      <xdr:col>0</xdr:col>
      <xdr:colOff>1257300</xdr:colOff>
      <xdr:row>103</xdr:row>
      <xdr:rowOff>0</xdr:rowOff>
    </xdr:to>
    <xdr:pic>
      <xdr:nvPicPr>
        <xdr:cNvPr id="2152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0075" y="15049500"/>
          <a:ext cx="6572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104</xdr:row>
      <xdr:rowOff>66675</xdr:rowOff>
    </xdr:from>
    <xdr:to>
      <xdr:col>0</xdr:col>
      <xdr:colOff>1781175</xdr:colOff>
      <xdr:row>107</xdr:row>
      <xdr:rowOff>133350</xdr:rowOff>
    </xdr:to>
    <xdr:pic>
      <xdr:nvPicPr>
        <xdr:cNvPr id="2153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150" y="15935325"/>
          <a:ext cx="1724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771525</xdr:colOff>
      <xdr:row>109</xdr:row>
      <xdr:rowOff>9525</xdr:rowOff>
    </xdr:from>
    <xdr:to>
      <xdr:col>0</xdr:col>
      <xdr:colOff>1533525</xdr:colOff>
      <xdr:row>112</xdr:row>
      <xdr:rowOff>0</xdr:rowOff>
    </xdr:to>
    <xdr:pic>
      <xdr:nvPicPr>
        <xdr:cNvPr id="2154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16687800"/>
          <a:ext cx="762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116</xdr:row>
      <xdr:rowOff>66675</xdr:rowOff>
    </xdr:from>
    <xdr:to>
      <xdr:col>0</xdr:col>
      <xdr:colOff>1790700</xdr:colOff>
      <xdr:row>121</xdr:row>
      <xdr:rowOff>66675</xdr:rowOff>
    </xdr:to>
    <xdr:pic>
      <xdr:nvPicPr>
        <xdr:cNvPr id="2155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17878425"/>
          <a:ext cx="17526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135</xdr:row>
      <xdr:rowOff>85725</xdr:rowOff>
    </xdr:from>
    <xdr:to>
      <xdr:col>0</xdr:col>
      <xdr:colOff>1590675</xdr:colOff>
      <xdr:row>137</xdr:row>
      <xdr:rowOff>57150</xdr:rowOff>
    </xdr:to>
    <xdr:pic>
      <xdr:nvPicPr>
        <xdr:cNvPr id="2156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t="38261" b="38260"/>
        <a:stretch>
          <a:fillRect/>
        </a:stretch>
      </xdr:blipFill>
      <xdr:spPr bwMode="auto">
        <a:xfrm>
          <a:off x="257175" y="20974050"/>
          <a:ext cx="1333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126</xdr:row>
      <xdr:rowOff>38100</xdr:rowOff>
    </xdr:from>
    <xdr:to>
      <xdr:col>0</xdr:col>
      <xdr:colOff>1676400</xdr:colOff>
      <xdr:row>130</xdr:row>
      <xdr:rowOff>95250</xdr:rowOff>
    </xdr:to>
    <xdr:pic>
      <xdr:nvPicPr>
        <xdr:cNvPr id="2157" name="Picture 75" descr="WO_Log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l="1743" t="11560" r="3484" b="12138"/>
        <a:stretch>
          <a:fillRect/>
        </a:stretch>
      </xdr:blipFill>
      <xdr:spPr bwMode="auto">
        <a:xfrm>
          <a:off x="219075" y="19469100"/>
          <a:ext cx="14573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142875</xdr:rowOff>
    </xdr:from>
    <xdr:to>
      <xdr:col>1</xdr:col>
      <xdr:colOff>0</xdr:colOff>
      <xdr:row>51</xdr:row>
      <xdr:rowOff>47625</xdr:rowOff>
    </xdr:to>
    <xdr:pic>
      <xdr:nvPicPr>
        <xdr:cNvPr id="2158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7915275"/>
          <a:ext cx="18383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114300</xdr:rowOff>
    </xdr:from>
    <xdr:to>
      <xdr:col>0</xdr:col>
      <xdr:colOff>1819275</xdr:colOff>
      <xdr:row>20</xdr:row>
      <xdr:rowOff>152400</xdr:rowOff>
    </xdr:to>
    <xdr:pic>
      <xdr:nvPicPr>
        <xdr:cNvPr id="2159" name="Picture 80" descr="Astro-Tech_Log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3190875"/>
          <a:ext cx="18192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30</xdr:row>
      <xdr:rowOff>9525</xdr:rowOff>
    </xdr:from>
    <xdr:to>
      <xdr:col>0</xdr:col>
      <xdr:colOff>1381125</xdr:colOff>
      <xdr:row>33</xdr:row>
      <xdr:rowOff>152400</xdr:rowOff>
    </xdr:to>
    <xdr:pic>
      <xdr:nvPicPr>
        <xdr:cNvPr id="2160" name="Picture 82" descr="GSO_Log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33375" y="5029200"/>
          <a:ext cx="1047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23132</xdr:colOff>
      <xdr:row>68</xdr:row>
      <xdr:rowOff>76200</xdr:rowOff>
    </xdr:from>
    <xdr:to>
      <xdr:col>0</xdr:col>
      <xdr:colOff>1819275</xdr:colOff>
      <xdr:row>72</xdr:row>
      <xdr:rowOff>57150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l="13514" t="11631" r="14414"/>
        <a:stretch>
          <a:fillRect/>
        </a:stretch>
      </xdr:blipFill>
      <xdr:spPr bwMode="auto">
        <a:xfrm>
          <a:off x="23132" y="11249025"/>
          <a:ext cx="1796143" cy="628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0</xdr:col>
      <xdr:colOff>1238250</xdr:colOff>
      <xdr:row>5</xdr:row>
      <xdr:rowOff>38100</xdr:rowOff>
    </xdr:to>
    <xdr:pic>
      <xdr:nvPicPr>
        <xdr:cNvPr id="3131" name="Image 1" descr="atik_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0050"/>
          <a:ext cx="12382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11</xdr:row>
      <xdr:rowOff>114300</xdr:rowOff>
    </xdr:from>
    <xdr:to>
      <xdr:col>0</xdr:col>
      <xdr:colOff>1276350</xdr:colOff>
      <xdr:row>13</xdr:row>
      <xdr:rowOff>76200</xdr:rowOff>
    </xdr:to>
    <xdr:pic>
      <xdr:nvPicPr>
        <xdr:cNvPr id="3132" name="Image 2" descr="h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419225"/>
          <a:ext cx="12287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23</xdr:row>
      <xdr:rowOff>19050</xdr:rowOff>
    </xdr:from>
    <xdr:to>
      <xdr:col>0</xdr:col>
      <xdr:colOff>1219200</xdr:colOff>
      <xdr:row>29</xdr:row>
      <xdr:rowOff>142875</xdr:rowOff>
    </xdr:to>
    <xdr:pic>
      <xdr:nvPicPr>
        <xdr:cNvPr id="3133" name="Image 3" descr="logo_canon_resize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3267075"/>
          <a:ext cx="11620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66675</xdr:rowOff>
    </xdr:from>
    <xdr:to>
      <xdr:col>0</xdr:col>
      <xdr:colOff>1266825</xdr:colOff>
      <xdr:row>45</xdr:row>
      <xdr:rowOff>47625</xdr:rowOff>
    </xdr:to>
    <xdr:pic>
      <xdr:nvPicPr>
        <xdr:cNvPr id="3134" name="Image 4" descr="Lumenera-ColorLogoForScreen-LowRestm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229350"/>
          <a:ext cx="12668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53</xdr:row>
      <xdr:rowOff>95250</xdr:rowOff>
    </xdr:from>
    <xdr:to>
      <xdr:col>0</xdr:col>
      <xdr:colOff>1257300</xdr:colOff>
      <xdr:row>61</xdr:row>
      <xdr:rowOff>47625</xdr:rowOff>
    </xdr:to>
    <xdr:pic>
      <xdr:nvPicPr>
        <xdr:cNvPr id="3135" name="Image 5" descr="nikon_logo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7877175"/>
          <a:ext cx="12477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79</xdr:row>
      <xdr:rowOff>76200</xdr:rowOff>
    </xdr:from>
    <xdr:to>
      <xdr:col>0</xdr:col>
      <xdr:colOff>1171575</xdr:colOff>
      <xdr:row>82</xdr:row>
      <xdr:rowOff>104775</xdr:rowOff>
    </xdr:to>
    <xdr:pic>
      <xdr:nvPicPr>
        <xdr:cNvPr id="3136" name="Image 6" descr="qsilogo45.gif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2800"/>
        <a:stretch>
          <a:fillRect/>
        </a:stretch>
      </xdr:blipFill>
      <xdr:spPr bwMode="auto">
        <a:xfrm>
          <a:off x="38100" y="11582400"/>
          <a:ext cx="11334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161925</xdr:rowOff>
    </xdr:from>
    <xdr:to>
      <xdr:col>0</xdr:col>
      <xdr:colOff>1295400</xdr:colOff>
      <xdr:row>96</xdr:row>
      <xdr:rowOff>38100</xdr:rowOff>
    </xdr:to>
    <xdr:pic>
      <xdr:nvPicPr>
        <xdr:cNvPr id="3137" name="Image 7" descr="sbig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2153900"/>
          <a:ext cx="129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100</xdr:row>
      <xdr:rowOff>133350</xdr:rowOff>
    </xdr:from>
    <xdr:to>
      <xdr:col>0</xdr:col>
      <xdr:colOff>1276350</xdr:colOff>
      <xdr:row>103</xdr:row>
      <xdr:rowOff>133350</xdr:rowOff>
    </xdr:to>
    <xdr:pic>
      <xdr:nvPicPr>
        <xdr:cNvPr id="3138" name="Image 8" descr="logo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050" y="14068425"/>
          <a:ext cx="12573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108</xdr:row>
      <xdr:rowOff>152400</xdr:rowOff>
    </xdr:from>
    <xdr:to>
      <xdr:col>0</xdr:col>
      <xdr:colOff>1295400</xdr:colOff>
      <xdr:row>111</xdr:row>
      <xdr:rowOff>9525</xdr:rowOff>
    </xdr:to>
    <xdr:pic>
      <xdr:nvPicPr>
        <xdr:cNvPr id="3139" name="Image 9" descr="logo-starlight-esc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5059025"/>
          <a:ext cx="1295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115</xdr:row>
      <xdr:rowOff>66675</xdr:rowOff>
    </xdr:from>
    <xdr:to>
      <xdr:col>0</xdr:col>
      <xdr:colOff>1295400</xdr:colOff>
      <xdr:row>116</xdr:row>
      <xdr:rowOff>85725</xdr:rowOff>
    </xdr:to>
    <xdr:pic>
      <xdr:nvPicPr>
        <xdr:cNvPr id="3140" name="Image 10" descr="TIS_Astro_Cams_Logo_475x67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6106775"/>
          <a:ext cx="12954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40</xdr:row>
      <xdr:rowOff>142875</xdr:rowOff>
    </xdr:from>
    <xdr:to>
      <xdr:col>0</xdr:col>
      <xdr:colOff>895350</xdr:colOff>
      <xdr:row>43</xdr:row>
      <xdr:rowOff>0</xdr:rowOff>
    </xdr:to>
    <xdr:pic>
      <xdr:nvPicPr>
        <xdr:cNvPr id="3141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47675" y="5819775"/>
          <a:ext cx="447675" cy="3429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19050</xdr:colOff>
      <xdr:row>118</xdr:row>
      <xdr:rowOff>9524</xdr:rowOff>
    </xdr:from>
    <xdr:to>
      <xdr:col>0</xdr:col>
      <xdr:colOff>1304925</xdr:colOff>
      <xdr:row>123</xdr:row>
      <xdr:rowOff>142874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050" y="17506949"/>
          <a:ext cx="1285875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70</xdr:row>
      <xdr:rowOff>9525</xdr:rowOff>
    </xdr:from>
    <xdr:to>
      <xdr:col>0</xdr:col>
      <xdr:colOff>1273901</xdr:colOff>
      <xdr:row>71</xdr:row>
      <xdr:rowOff>142875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0706100"/>
          <a:ext cx="1273901" cy="295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</xdr:colOff>
      <xdr:row>105</xdr:row>
      <xdr:rowOff>66116</xdr:rowOff>
    </xdr:from>
    <xdr:to>
      <xdr:col>0</xdr:col>
      <xdr:colOff>1219200</xdr:colOff>
      <xdr:row>106</xdr:row>
      <xdr:rowOff>114301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23729" b="35412"/>
        <a:stretch>
          <a:fillRect/>
        </a:stretch>
      </xdr:blipFill>
      <xdr:spPr bwMode="auto">
        <a:xfrm>
          <a:off x="28575" y="16753916"/>
          <a:ext cx="1190625" cy="2101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8" name="Tableau8" displayName="Tableau8" ref="B1:R130" insertRowShift="1" totalsRowShown="0" headerRowDxfId="19" dataDxfId="18" tableBorderDxfId="17">
  <autoFilter ref="B1:R130"/>
  <tableColumns count="17">
    <tableColumn id="1" name="Modèle" dataDxfId="16"/>
    <tableColumn id="2" name="Capteur" dataDxfId="15"/>
    <tableColumn id="3" name="Type" dataDxfId="14"/>
    <tableColumn id="4" name="Largeur (mm)" dataDxfId="13">
      <calculatedColumnFormula>#REF!</calculatedColumnFormula>
    </tableColumn>
    <tableColumn id="5" name="Hauteur (mm)" dataDxfId="12">
      <calculatedColumnFormula>#REF!</calculatedColumnFormula>
    </tableColumn>
    <tableColumn id="6" name="Largeur (pixels)" dataDxfId="11">
      <calculatedColumnFormula>ROUND(E2*1000/I2,0)</calculatedColumnFormula>
    </tableColumn>
    <tableColumn id="7" name="Hauteur (pixels)" dataDxfId="10">
      <calculatedColumnFormula>ROUND(F2*1000/I2,0)</calculatedColumnFormula>
    </tableColumn>
    <tableColumn id="8" name="Photosites (µm)" dataDxfId="9">
      <calculatedColumnFormula>#REF!</calculatedColumnFormula>
    </tableColumn>
    <tableColumn id="9" name="Mégapixels" dataDxfId="8">
      <calculatedColumnFormula>0.000001*G2*H2</calculatedColumnFormula>
    </tableColumn>
    <tableColumn id="10" name="Cadence (im/s)" dataDxfId="7"/>
    <tableColumn id="11" name="Dynamique" dataDxfId="6"/>
    <tableColumn id="12" name="Numérisation (bits)" dataDxfId="5"/>
    <tableColumn id="13" name="Bruit de lecture" dataDxfId="4"/>
    <tableColumn id="14" name="Courant d'obscurité à 0°C" dataDxfId="3"/>
    <tableColumn id="15" name="Temps de chargement d'une image" dataDxfId="2"/>
    <tableColumn id="16" name="Capacité des pixels" dataDxfId="1"/>
    <tableColumn id="17" name="Refroidissement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Module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.wikipedia.org/wiki/Th%C3%A9or%C3%A8me_d%27%C3%A9chantillonnage_de_Nyquist-Shanno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8"/>
  <sheetViews>
    <sheetView tabSelected="1" workbookViewId="0">
      <selection activeCell="E9" sqref="E9:F10"/>
    </sheetView>
  </sheetViews>
  <sheetFormatPr baseColWidth="10" defaultRowHeight="12.75"/>
  <cols>
    <col min="1" max="1" width="11.42578125" style="6"/>
    <col min="2" max="2" width="11" style="6" customWidth="1"/>
    <col min="3" max="3" width="10.28515625" style="14" customWidth="1"/>
    <col min="4" max="4" width="9.42578125" style="14" customWidth="1"/>
    <col min="5" max="6" width="11.7109375" style="6" customWidth="1"/>
    <col min="7" max="7" width="10.7109375" style="6" customWidth="1"/>
    <col min="8" max="9" width="8.7109375" style="6" customWidth="1"/>
    <col min="10" max="10" width="11.7109375" style="6" customWidth="1"/>
    <col min="11" max="12" width="10.140625" style="6" customWidth="1"/>
    <col min="13" max="14" width="8.7109375" style="6" customWidth="1"/>
    <col min="15" max="15" width="4.28515625" style="6" customWidth="1"/>
    <col min="16" max="18" width="15.7109375" style="6" customWidth="1"/>
    <col min="19" max="21" width="4.7109375" style="6" customWidth="1"/>
    <col min="22" max="22" width="8.28515625" style="6" customWidth="1"/>
    <col min="23" max="23" width="12.42578125" style="6" bestFit="1" customWidth="1"/>
    <col min="24" max="16384" width="11.42578125" style="6"/>
  </cols>
  <sheetData>
    <row r="1" spans="1:23" ht="49.5" customHeight="1">
      <c r="C1" s="32" t="s">
        <v>526</v>
      </c>
      <c r="D1" s="157" t="s">
        <v>443</v>
      </c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12"/>
      <c r="P1" s="115"/>
      <c r="Q1" s="115"/>
    </row>
    <row r="2" spans="1:23">
      <c r="C2" s="186" t="s">
        <v>446</v>
      </c>
      <c r="D2" s="186"/>
      <c r="E2" s="186"/>
      <c r="F2" s="186"/>
      <c r="G2" s="186"/>
    </row>
    <row r="3" spans="1:23">
      <c r="C3" s="187" t="s">
        <v>302</v>
      </c>
      <c r="D3" s="187"/>
      <c r="E3" s="187"/>
      <c r="F3" s="187"/>
      <c r="G3" s="187"/>
    </row>
    <row r="4" spans="1:23">
      <c r="C4" s="7"/>
      <c r="D4" s="7"/>
      <c r="E4" s="7"/>
      <c r="F4" s="7"/>
      <c r="G4" s="7"/>
      <c r="H4" s="7"/>
      <c r="I4" s="7"/>
      <c r="K4" s="7"/>
      <c r="L4" s="7"/>
      <c r="M4" s="7"/>
      <c r="N4" s="7"/>
      <c r="O4" s="7"/>
      <c r="P4" s="7"/>
      <c r="Q4" s="7"/>
      <c r="R4" s="7"/>
    </row>
    <row r="5" spans="1:23" ht="18">
      <c r="C5" s="103" t="s">
        <v>303</v>
      </c>
      <c r="D5" s="7"/>
      <c r="E5" s="8"/>
      <c r="F5" s="8"/>
      <c r="G5" s="8"/>
      <c r="H5" s="8"/>
      <c r="I5" s="8"/>
      <c r="K5" s="8"/>
      <c r="L5" s="8"/>
      <c r="M5" s="8"/>
      <c r="N5" s="8"/>
      <c r="O5" s="8"/>
      <c r="P5" s="8"/>
      <c r="Q5" s="8"/>
      <c r="R5" s="8"/>
    </row>
    <row r="6" spans="1:23">
      <c r="C6" s="7"/>
      <c r="D6" s="7"/>
      <c r="E6" s="8"/>
      <c r="F6" s="8"/>
      <c r="G6" s="8"/>
      <c r="H6" s="8"/>
      <c r="I6" s="8"/>
      <c r="K6" s="8"/>
      <c r="L6" s="8"/>
      <c r="M6" s="8"/>
      <c r="N6" s="8"/>
      <c r="O6" s="8"/>
      <c r="P6" s="8"/>
      <c r="Q6" s="8"/>
      <c r="R6" s="8"/>
    </row>
    <row r="7" spans="1:23" ht="12.75" customHeight="1">
      <c r="C7" s="184" t="s">
        <v>304</v>
      </c>
      <c r="D7" s="191"/>
      <c r="E7" s="191"/>
      <c r="F7" s="185"/>
      <c r="G7" s="158" t="s">
        <v>445</v>
      </c>
      <c r="H7" s="158" t="s">
        <v>451</v>
      </c>
      <c r="I7" s="167"/>
      <c r="J7" s="158" t="s">
        <v>447</v>
      </c>
      <c r="K7" s="188" t="s">
        <v>305</v>
      </c>
      <c r="L7" s="189"/>
      <c r="M7" s="189"/>
      <c r="N7" s="190"/>
      <c r="O7" s="135"/>
      <c r="P7" s="167" t="s">
        <v>306</v>
      </c>
      <c r="Q7" s="167"/>
      <c r="R7" s="167"/>
      <c r="S7" s="160" t="s">
        <v>323</v>
      </c>
      <c r="T7" s="161"/>
      <c r="U7" s="161"/>
      <c r="V7" s="162"/>
    </row>
    <row r="8" spans="1:23" ht="25.5" customHeight="1">
      <c r="A8" s="31"/>
      <c r="C8" s="184" t="s">
        <v>0</v>
      </c>
      <c r="D8" s="185"/>
      <c r="E8" s="184" t="s">
        <v>1</v>
      </c>
      <c r="F8" s="185"/>
      <c r="G8" s="158"/>
      <c r="H8" s="167"/>
      <c r="I8" s="167"/>
      <c r="J8" s="158"/>
      <c r="K8" s="184" t="s">
        <v>0</v>
      </c>
      <c r="L8" s="185"/>
      <c r="M8" s="184" t="s">
        <v>1</v>
      </c>
      <c r="N8" s="185"/>
      <c r="O8" s="136"/>
      <c r="P8" s="9" t="s">
        <v>308</v>
      </c>
      <c r="Q8" s="9" t="s">
        <v>309</v>
      </c>
      <c r="R8" s="9" t="s">
        <v>310</v>
      </c>
      <c r="S8" s="109" t="s">
        <v>325</v>
      </c>
      <c r="T8" s="139" t="s">
        <v>326</v>
      </c>
      <c r="U8" s="110" t="s">
        <v>327</v>
      </c>
      <c r="V8" s="9" t="s">
        <v>328</v>
      </c>
    </row>
    <row r="9" spans="1:23" ht="12.75" customHeight="1">
      <c r="C9" s="168" t="s">
        <v>331</v>
      </c>
      <c r="D9" s="169"/>
      <c r="E9" s="168" t="s">
        <v>301</v>
      </c>
      <c r="F9" s="169"/>
      <c r="G9" s="183">
        <v>1</v>
      </c>
      <c r="H9" s="168" t="s">
        <v>455</v>
      </c>
      <c r="I9" s="169"/>
      <c r="J9" s="173">
        <v>0.1</v>
      </c>
      <c r="K9" s="174" t="s">
        <v>479</v>
      </c>
      <c r="L9" s="174"/>
      <c r="M9" s="174" t="s">
        <v>525</v>
      </c>
      <c r="N9" s="174"/>
      <c r="O9" s="137"/>
      <c r="P9" s="143">
        <f>DEGREES(2*ATAN(VLOOKUP(M9,Caméras!B2:R131,4,0)/2/VLOOKUP(E9,'Tubes optiques'!B2:E140,3,0)/G9))/24</f>
        <v>0.14075404112224357</v>
      </c>
      <c r="Q9" s="143">
        <f>DEGREES(2*ATAN(VLOOKUP(M9,Caméras!B2:R131,5,0)/2/VLOOKUP(E9,'Tubes optiques'!B2:E140,3,0)/G9))/24</f>
        <v>0.10642519742675921</v>
      </c>
      <c r="R9" s="143">
        <f>DEGREES(2*ATAN(SQRT(VLOOKUP(M9,Caméras!B2:R131,5,0)^2+VLOOKUP(M9,Caméras!B2:R131,4,0)^2)/2/VLOOKUP(E9,'Tubes optiques'!B2:E140,3,0)/G9))/24</f>
        <v>0.17642252516389756</v>
      </c>
      <c r="S9" s="163">
        <v>0</v>
      </c>
      <c r="T9" s="164">
        <v>0</v>
      </c>
      <c r="U9" s="165">
        <v>43</v>
      </c>
      <c r="V9" s="166">
        <f>($S9*3600+$T9*60+$U9)/P14</f>
        <v>16.458148648412195</v>
      </c>
    </row>
    <row r="10" spans="1:23">
      <c r="C10" s="170"/>
      <c r="D10" s="171"/>
      <c r="E10" s="170"/>
      <c r="F10" s="171"/>
      <c r="G10" s="183"/>
      <c r="H10" s="170"/>
      <c r="I10" s="171"/>
      <c r="J10" s="173"/>
      <c r="K10" s="174"/>
      <c r="L10" s="174"/>
      <c r="M10" s="174"/>
      <c r="N10" s="174"/>
      <c r="O10" s="137"/>
      <c r="P10" s="144" t="str">
        <f>ROUND(P9*24,4)&amp;"° "</f>
        <v xml:space="preserve">3,3781° </v>
      </c>
      <c r="Q10" s="144" t="str">
        <f>ROUND(Q9*24,4)&amp;"°"</f>
        <v>2,5542°</v>
      </c>
      <c r="R10" s="144" t="str">
        <f>ROUND(R9*24,4)&amp;"°"</f>
        <v>4,2341°</v>
      </c>
      <c r="S10" s="163"/>
      <c r="T10" s="164"/>
      <c r="U10" s="165"/>
      <c r="V10" s="166"/>
    </row>
    <row r="11" spans="1:23" s="11" customFormat="1">
      <c r="C11" s="192" t="s">
        <v>311</v>
      </c>
      <c r="D11" s="193"/>
      <c r="E11" s="181" t="str">
        <f>ROUND(VLOOKUP(E9,'Tubes optiques'!B2:E140,2,0),1)&amp;" mm"</f>
        <v>75 mm</v>
      </c>
      <c r="F11" s="181"/>
      <c r="G11" s="8"/>
      <c r="K11" s="196" t="s">
        <v>2</v>
      </c>
      <c r="L11" s="197"/>
      <c r="M11" s="175" t="str">
        <f>IF(VLOOKUP(M9,Caméras!B2:R131,2,0)=0,"---",VLOOKUP(M9,Caméras!B2:R131,2,0))</f>
        <v>---</v>
      </c>
      <c r="N11" s="175"/>
      <c r="O11" s="28"/>
      <c r="P11" s="145"/>
      <c r="Q11" s="145"/>
      <c r="R11" s="12"/>
      <c r="S11" s="13"/>
    </row>
    <row r="12" spans="1:23" s="11" customFormat="1" ht="12.75" customHeight="1">
      <c r="C12" s="192" t="s">
        <v>312</v>
      </c>
      <c r="D12" s="193"/>
      <c r="E12" s="181" t="str">
        <f>ROUND(VLOOKUP(E9,'Tubes optiques'!B2:E140,3,0),0)&amp;" mm"</f>
        <v>300 mm</v>
      </c>
      <c r="F12" s="181"/>
      <c r="G12" s="138" t="str">
        <f>IF(G9=1," ",ROUND(G9*VLOOKUP(E9,'Tubes optiques'!B2:E140,3,0),0)&amp;" mm")</f>
        <v xml:space="preserve"> </v>
      </c>
      <c r="K12" s="177" t="s">
        <v>3</v>
      </c>
      <c r="L12" s="178"/>
      <c r="M12" s="181" t="str">
        <f>VLOOKUP(M9,Caméras!B2:R131,3,0)</f>
        <v>CMOS</v>
      </c>
      <c r="N12" s="181"/>
      <c r="O12" s="28"/>
      <c r="P12" s="158" t="s">
        <v>307</v>
      </c>
      <c r="Q12" s="158" t="s">
        <v>441</v>
      </c>
      <c r="R12" s="158"/>
      <c r="S12" s="158" t="s">
        <v>442</v>
      </c>
      <c r="T12" s="158"/>
      <c r="U12" s="158"/>
      <c r="V12" s="158"/>
    </row>
    <row r="13" spans="1:23" s="14" customFormat="1">
      <c r="C13" s="177" t="s">
        <v>211</v>
      </c>
      <c r="D13" s="178"/>
      <c r="E13" s="181">
        <f>VLOOKUP(E9,'Tubes optiques'!B2:E140,4,0)</f>
        <v>4</v>
      </c>
      <c r="F13" s="181"/>
      <c r="G13" s="138" t="str">
        <f>IF(G9=1," ",ROUND(G9*VLOOKUP(E9,'Tubes optiques'!B2:E140,4,0),1))</f>
        <v xml:space="preserve"> </v>
      </c>
      <c r="K13" s="177" t="s">
        <v>313</v>
      </c>
      <c r="L13" s="178"/>
      <c r="M13" s="181" t="str">
        <f>VLOOKUP(M9,Caméras!B2:R131,6,0)&amp;"×"&amp;VLOOKUP(M9,Caméras!B2:R131,7,0)</f>
        <v>4656×3520</v>
      </c>
      <c r="N13" s="181"/>
      <c r="O13" s="28"/>
      <c r="P13" s="158"/>
      <c r="Q13" s="158"/>
      <c r="R13" s="158"/>
      <c r="S13" s="158"/>
      <c r="T13" s="158"/>
      <c r="U13" s="158"/>
      <c r="V13" s="158"/>
      <c r="W13" s="155">
        <f>VLOOKUP(M9,Caméras!B2:R131,8,0)*206.26/(MAX(VLOOKUP(E9,'Tubes optiques'!B2:F140,5,0),J9)/2)</f>
        <v>849.46893831013995</v>
      </c>
    </row>
    <row r="14" spans="1:23" s="14" customFormat="1">
      <c r="C14" s="177" t="s">
        <v>313</v>
      </c>
      <c r="D14" s="178"/>
      <c r="E14" s="176" t="str">
        <f>IF(VLOOKUP(E9,'Tubes optiques'!B2:F140,5,0)&lt;1,ROUND(VLOOKUP(E9,'Tubes optiques'!B2:F140,5,0),2),IF(VLOOKUP(E9,'Tubes optiques'!B2:F140,5,0)&lt;10,ROUND(VLOOKUP(E9,'Tubes optiques'!B2:F140,5,0),1),ROUND(VLOOKUP(E9,'Tubes optiques'!B2:F140,5,0),0)))&amp;"''"</f>
        <v>1,8''</v>
      </c>
      <c r="F14" s="176"/>
      <c r="K14" s="179" t="s">
        <v>314</v>
      </c>
      <c r="L14" s="180"/>
      <c r="M14" s="181" t="str">
        <f>VLOOKUP(M9,Caméras!B2:R131,8,0)&amp;" µm"</f>
        <v>3,8 µm</v>
      </c>
      <c r="N14" s="181"/>
      <c r="O14" s="28"/>
      <c r="P14" s="172">
        <f>DEGREES(2*ATAN(VLOOKUP(M9,Caméras!B2:R131,8,0)/1000/2/VLOOKUP(E9,'Tubes optiques'!B2:E140,3,0)/G9))*3600</f>
        <v>2.6126875457616214</v>
      </c>
      <c r="Q14" s="166" t="str">
        <f>ROUND(VLOOKUP(M9,Caméras!B2:R131,8,0)*206.26/(MAX(VLOOKUP(E9,'Tubes optiques'!B2:F140,5,0),J9)/2),0)&amp;" mm &lt; Focale &lt; "&amp;ROUND(VLOOKUP(M9,Caméras!B2:R131,8,0)*206.26/(MAX(VLOOKUP(E9,'Tubes optiques'!B2:F140,5,0),J9)/3),0)&amp;" mm"</f>
        <v>849 mm &lt; Focale &lt; 1274 mm</v>
      </c>
      <c r="R14" s="166"/>
      <c r="S14" s="159" t="str">
        <f>IF(ROUND(G9*VLOOKUP(E9,'Tubes optiques'!B2:E140,3,0),0)&lt;ROUND(VLOOKUP(M9,Caméras!B2:R131,8,0)*206.26/(MAX(VLOOKUP(E9,'Tubes optiques'!B2:F140,5,0),J9)/2),0),"Sous-échantillonnage",IF(ROUND(G9*VLOOKUP(E9,'Tubes optiques'!B2:E140,3,0),0)&gt;ROUND(VLOOKUP(M9,Caméras!B2:R131,8,0)*206.26/(MAX(VLOOKUP(E9,'Tubes optiques'!B2:F140,5,0),J9)/3),0),"Sur-échantillonnage","Echantillonnage correct"))</f>
        <v>Sous-échantillonnage</v>
      </c>
      <c r="T14" s="159"/>
      <c r="U14" s="159"/>
      <c r="V14" s="159"/>
      <c r="W14" s="156">
        <f>G9*VLOOKUP(E9,'Tubes optiques'!B2:E140,3,0)</f>
        <v>300</v>
      </c>
    </row>
    <row r="15" spans="1:23" s="14" customFormat="1">
      <c r="C15" s="28"/>
      <c r="D15" s="28"/>
      <c r="E15" s="29"/>
      <c r="F15" s="29"/>
      <c r="J15" s="104"/>
      <c r="K15" s="179" t="s">
        <v>315</v>
      </c>
      <c r="L15" s="180"/>
      <c r="M15" s="182" t="str">
        <f>ROUND(VLOOKUP(M9,Caméras!B2:R131,4,0),2)&amp;" mm"</f>
        <v>17,69 mm</v>
      </c>
      <c r="N15" s="182"/>
      <c r="O15" s="134"/>
      <c r="P15" s="172"/>
      <c r="Q15" s="166" t="str">
        <f>ROUND(VLOOKUP(M9,Caméras!B2:R131,8,0)*206.26/(MAX(VLOOKUP(E9,'Tubes optiques'!B2:F140,5,0),J9)/2)/VLOOKUP(E9,'Tubes optiques'!B2:E140,2,0),0)&amp;" &lt; F/D &lt; "&amp;ROUND(VLOOKUP(M9,Caméras!B2:R131,8,0)*206.26/(MAX(VLOOKUP(E9,'Tubes optiques'!B2:F140,5,0),J9)/3)/VLOOKUP(E9,'Tubes optiques'!B2:E140,2,0),0)</f>
        <v>11 &lt; F/D &lt; 17</v>
      </c>
      <c r="R15" s="166"/>
      <c r="S15" s="159"/>
      <c r="T15" s="159"/>
      <c r="U15" s="159"/>
      <c r="V15" s="159"/>
      <c r="W15" s="155">
        <f>VLOOKUP(M9,Caméras!B2:R131,8,0)*206.26/(MAX(VLOOKUP(E9,'Tubes optiques'!B2:F140,5,0),J9)/3)</f>
        <v>1274.2034074652099</v>
      </c>
    </row>
    <row r="16" spans="1:23" s="14" customFormat="1">
      <c r="J16" s="104"/>
      <c r="K16" s="179" t="s">
        <v>316</v>
      </c>
      <c r="L16" s="180"/>
      <c r="M16" s="182" t="str">
        <f>ROUND(VLOOKUP(M9,Caméras!B2:R131,5,0),2)&amp;" mm"</f>
        <v>13,38 mm</v>
      </c>
      <c r="N16" s="182"/>
      <c r="O16" s="134"/>
      <c r="Q16" s="15"/>
      <c r="R16" s="15"/>
    </row>
    <row r="17" spans="3:23" s="14" customFormat="1">
      <c r="C17" s="121"/>
      <c r="D17" s="121"/>
      <c r="K17" s="177" t="s">
        <v>317</v>
      </c>
      <c r="L17" s="178"/>
      <c r="M17" s="176">
        <f>VLOOKUP(M9,Caméras!B2:R131,9,0)</f>
        <v>16.389119999999998</v>
      </c>
      <c r="N17" s="176"/>
      <c r="O17" s="123"/>
      <c r="P17" s="104"/>
    </row>
    <row r="18" spans="3:23" s="14" customFormat="1" ht="12.75" customHeight="1">
      <c r="C18" s="105"/>
      <c r="D18" s="105"/>
      <c r="K18" s="177" t="s">
        <v>318</v>
      </c>
      <c r="L18" s="178"/>
      <c r="M18" s="181" t="str">
        <f>IF(VLOOKUP(M9,Caméras!B2:R131,10,0)=0,"---",VLOOKUP(M9,Caméras!B2:R131,10,0)&amp;" im/s")</f>
        <v>23 im/s</v>
      </c>
      <c r="N18" s="181"/>
      <c r="O18" s="28"/>
      <c r="W18" s="104"/>
    </row>
    <row r="19" spans="3:23" s="14" customFormat="1">
      <c r="C19" s="122"/>
      <c r="D19" s="28"/>
      <c r="K19" s="177" t="s">
        <v>319</v>
      </c>
      <c r="L19" s="178"/>
      <c r="M19" s="181" t="str">
        <f>IF(VLOOKUP(M9,Caméras!B2:R131,11,0)=0,"---",VLOOKUP(M9,Caméras!B2:R131,11,0))</f>
        <v>---</v>
      </c>
      <c r="N19" s="181"/>
      <c r="O19" s="28"/>
    </row>
    <row r="20" spans="3:23" s="14" customFormat="1" ht="12.75" customHeight="1">
      <c r="C20" s="194" t="s">
        <v>469</v>
      </c>
      <c r="D20" s="194"/>
      <c r="E20" s="194"/>
      <c r="F20" s="194"/>
      <c r="G20" s="194"/>
      <c r="H20" s="194"/>
      <c r="I20" s="194"/>
      <c r="J20" s="195"/>
      <c r="K20" s="177" t="s">
        <v>320</v>
      </c>
      <c r="L20" s="178"/>
      <c r="M20" s="181" t="str">
        <f>IF(VLOOKUP(M9,Caméras!B2:R131,12,0)=0,"---",VLOOKUP(M9,Caméras!B2:R131,12,0)&amp;" bits")</f>
        <v>12 bits</v>
      </c>
      <c r="N20" s="181"/>
      <c r="O20" s="28"/>
    </row>
    <row r="21" spans="3:23" s="14" customFormat="1">
      <c r="C21" s="194"/>
      <c r="D21" s="194"/>
      <c r="E21" s="194"/>
      <c r="F21" s="194"/>
      <c r="G21" s="194"/>
      <c r="H21" s="194"/>
      <c r="I21" s="194"/>
      <c r="J21" s="195"/>
      <c r="K21" s="177" t="s">
        <v>10</v>
      </c>
      <c r="L21" s="178"/>
      <c r="M21" s="181" t="str">
        <f>IF(VLOOKUP(M9,Caméras!B2:R131,13,0)=0,"---",VLOOKUP(M9,Caméras!B2:R131,13,0))</f>
        <v>1,2 e- @30dB gain</v>
      </c>
      <c r="N21" s="181"/>
      <c r="O21" s="28"/>
      <c r="Q21" s="15"/>
      <c r="R21" s="15"/>
    </row>
    <row r="22" spans="3:23" s="14" customFormat="1">
      <c r="C22" s="19"/>
      <c r="D22" s="19"/>
      <c r="E22" s="6"/>
      <c r="F22" s="6"/>
      <c r="K22" s="177" t="s">
        <v>321</v>
      </c>
      <c r="L22" s="178"/>
      <c r="M22" s="181" t="str">
        <f>IF(VLOOKUP(M9,Caméras!B2:R131,14,0)=0,"---",VLOOKUP(M9,Caméras!B2:R131,14,0))</f>
        <v>---</v>
      </c>
      <c r="N22" s="181"/>
      <c r="O22" s="28"/>
      <c r="Q22" s="15"/>
      <c r="R22" s="15"/>
    </row>
    <row r="23" spans="3:23" s="14" customFormat="1">
      <c r="C23" s="184" t="s">
        <v>304</v>
      </c>
      <c r="D23" s="185"/>
      <c r="E23" s="184" t="s">
        <v>2</v>
      </c>
      <c r="F23" s="191"/>
      <c r="G23" s="185"/>
      <c r="H23" s="158" t="s">
        <v>450</v>
      </c>
      <c r="K23" s="177" t="s">
        <v>322</v>
      </c>
      <c r="L23" s="178"/>
      <c r="M23" s="181" t="str">
        <f>IF(VLOOKUP(M9,Caméras!B2:R131,15,0)=0,"---",VLOOKUP(M9,Caméras!B2:R131,15,0))</f>
        <v>---</v>
      </c>
      <c r="N23" s="181"/>
      <c r="O23" s="28"/>
      <c r="Q23" s="15"/>
      <c r="R23" s="15"/>
    </row>
    <row r="24" spans="3:23" s="14" customFormat="1">
      <c r="C24" s="106" t="s">
        <v>209</v>
      </c>
      <c r="D24" s="106" t="s">
        <v>210</v>
      </c>
      <c r="E24" s="9" t="s">
        <v>315</v>
      </c>
      <c r="F24" s="9" t="s">
        <v>316</v>
      </c>
      <c r="G24" s="9" t="s">
        <v>324</v>
      </c>
      <c r="H24" s="158"/>
      <c r="K24" s="177" t="s">
        <v>13</v>
      </c>
      <c r="L24" s="178"/>
      <c r="M24" s="181" t="str">
        <f>IF(VLOOKUP(M9,Caméras!B2:R131,16,0)=0,"---",VLOOKUP(M9,Caméras!B2:R131,16,0))</f>
        <v>20000 e-</v>
      </c>
      <c r="N24" s="181"/>
      <c r="O24" s="28"/>
      <c r="Q24" s="15"/>
      <c r="R24" s="15"/>
    </row>
    <row r="25" spans="3:23" s="14" customFormat="1">
      <c r="C25" s="10">
        <v>200</v>
      </c>
      <c r="D25" s="10">
        <v>2000</v>
      </c>
      <c r="E25" s="10">
        <v>36</v>
      </c>
      <c r="F25" s="10">
        <v>24</v>
      </c>
      <c r="G25" s="10">
        <v>3.75</v>
      </c>
      <c r="H25" s="10">
        <v>550</v>
      </c>
      <c r="K25" s="177" t="s">
        <v>14</v>
      </c>
      <c r="L25" s="178"/>
      <c r="M25" s="181" t="str">
        <f>IF(VLOOKUP(M9,Caméras!B2:R131,17,0)=0,"---",VLOOKUP(M9,Caméras!B2:R131,17,0))</f>
        <v>ΔT -40°C</v>
      </c>
      <c r="N25" s="181"/>
      <c r="O25" s="28"/>
    </row>
    <row r="26" spans="3:23" s="14" customFormat="1">
      <c r="C26" s="122"/>
      <c r="D26" s="123"/>
      <c r="S26" s="96"/>
    </row>
    <row r="27" spans="3:23" s="14" customFormat="1">
      <c r="G27" s="6"/>
      <c r="H27" s="6"/>
      <c r="I27" s="6"/>
      <c r="J27" s="17"/>
      <c r="K27" s="21"/>
      <c r="L27" s="21"/>
      <c r="R27" s="6"/>
      <c r="S27" s="18"/>
      <c r="T27" s="18"/>
      <c r="U27" s="18"/>
      <c r="V27" s="20"/>
    </row>
    <row r="28" spans="3:23" s="14" customFormat="1">
      <c r="K28" s="16"/>
      <c r="L28" s="16"/>
      <c r="S28" s="96"/>
      <c r="T28" s="18"/>
      <c r="U28" s="18"/>
      <c r="V28" s="20"/>
    </row>
    <row r="29" spans="3:23">
      <c r="C29" s="100"/>
      <c r="D29" s="105"/>
      <c r="E29" s="105"/>
      <c r="F29" s="105"/>
      <c r="G29" s="105"/>
    </row>
    <row r="30" spans="3:23" ht="26.25">
      <c r="C30" s="101" t="s">
        <v>444</v>
      </c>
      <c r="D30" s="6"/>
      <c r="E30" s="22"/>
      <c r="F30" s="22"/>
      <c r="G30" s="23"/>
    </row>
    <row r="31" spans="3:23">
      <c r="D31" s="6"/>
      <c r="E31" s="24"/>
      <c r="F31" s="24"/>
      <c r="G31" s="30"/>
    </row>
    <row r="32" spans="3:23">
      <c r="C32" s="14" t="s">
        <v>449</v>
      </c>
      <c r="D32" s="6"/>
      <c r="E32" s="24"/>
      <c r="F32" s="24"/>
      <c r="G32" s="30"/>
      <c r="K32" s="23"/>
      <c r="L32" s="23"/>
    </row>
    <row r="33" spans="3:7">
      <c r="C33" s="14" t="s">
        <v>448</v>
      </c>
      <c r="D33" s="6"/>
      <c r="G33" s="11"/>
    </row>
    <row r="34" spans="3:7">
      <c r="C34" s="14" t="s">
        <v>461</v>
      </c>
    </row>
    <row r="35" spans="3:7">
      <c r="C35" s="102" t="s">
        <v>463</v>
      </c>
    </row>
    <row r="36" spans="3:7">
      <c r="C36" s="102" t="s">
        <v>462</v>
      </c>
    </row>
    <row r="37" spans="3:7">
      <c r="C37" s="14" t="s">
        <v>460</v>
      </c>
      <c r="D37" s="6"/>
    </row>
    <row r="38" spans="3:7">
      <c r="D38" s="14" t="s">
        <v>454</v>
      </c>
    </row>
    <row r="39" spans="3:7">
      <c r="D39" s="14" t="s">
        <v>453</v>
      </c>
    </row>
    <row r="41" spans="3:7">
      <c r="C41" s="140" t="s">
        <v>452</v>
      </c>
    </row>
    <row r="42" spans="3:7">
      <c r="C42" s="14" t="s">
        <v>475</v>
      </c>
    </row>
    <row r="44" spans="3:7">
      <c r="C44" s="14" t="s">
        <v>471</v>
      </c>
    </row>
    <row r="45" spans="3:7">
      <c r="C45" s="14" t="s">
        <v>472</v>
      </c>
    </row>
    <row r="46" spans="3:7">
      <c r="C46" s="14" t="s">
        <v>474</v>
      </c>
    </row>
    <row r="48" spans="3:7">
      <c r="C48" s="14" t="s">
        <v>473</v>
      </c>
    </row>
  </sheetData>
  <mergeCells count="74">
    <mergeCell ref="Q15:R15"/>
    <mergeCell ref="E23:G23"/>
    <mergeCell ref="M20:N20"/>
    <mergeCell ref="M21:N21"/>
    <mergeCell ref="C23:D23"/>
    <mergeCell ref="H23:H24"/>
    <mergeCell ref="M22:N22"/>
    <mergeCell ref="M23:N23"/>
    <mergeCell ref="M24:N24"/>
    <mergeCell ref="K22:L22"/>
    <mergeCell ref="M25:N25"/>
    <mergeCell ref="M16:N16"/>
    <mergeCell ref="M17:N17"/>
    <mergeCell ref="M18:N18"/>
    <mergeCell ref="M19:N19"/>
    <mergeCell ref="K25:L25"/>
    <mergeCell ref="C11:D11"/>
    <mergeCell ref="C12:D12"/>
    <mergeCell ref="C13:D13"/>
    <mergeCell ref="K21:L21"/>
    <mergeCell ref="C20:J21"/>
    <mergeCell ref="K23:L23"/>
    <mergeCell ref="K24:L24"/>
    <mergeCell ref="C14:D14"/>
    <mergeCell ref="K11:L11"/>
    <mergeCell ref="E13:F13"/>
    <mergeCell ref="P7:R7"/>
    <mergeCell ref="M8:N8"/>
    <mergeCell ref="K8:L8"/>
    <mergeCell ref="C2:G2"/>
    <mergeCell ref="C3:G3"/>
    <mergeCell ref="G7:G8"/>
    <mergeCell ref="J7:J8"/>
    <mergeCell ref="K7:N7"/>
    <mergeCell ref="C8:D8"/>
    <mergeCell ref="E8:F8"/>
    <mergeCell ref="C7:F7"/>
    <mergeCell ref="C9:D10"/>
    <mergeCell ref="E9:F10"/>
    <mergeCell ref="K9:L10"/>
    <mergeCell ref="K12:L12"/>
    <mergeCell ref="K13:L13"/>
    <mergeCell ref="E11:F11"/>
    <mergeCell ref="E12:F12"/>
    <mergeCell ref="G9:G10"/>
    <mergeCell ref="M11:N11"/>
    <mergeCell ref="E14:F14"/>
    <mergeCell ref="K18:L18"/>
    <mergeCell ref="K19:L19"/>
    <mergeCell ref="K20:L20"/>
    <mergeCell ref="K15:L15"/>
    <mergeCell ref="K16:L16"/>
    <mergeCell ref="K17:L17"/>
    <mergeCell ref="K14:L14"/>
    <mergeCell ref="M12:N12"/>
    <mergeCell ref="M13:N13"/>
    <mergeCell ref="M14:N14"/>
    <mergeCell ref="M15:N15"/>
    <mergeCell ref="D1:N1"/>
    <mergeCell ref="S12:V13"/>
    <mergeCell ref="S14:V15"/>
    <mergeCell ref="S7:V7"/>
    <mergeCell ref="S9:S10"/>
    <mergeCell ref="T9:T10"/>
    <mergeCell ref="U9:U10"/>
    <mergeCell ref="V9:V10"/>
    <mergeCell ref="H7:I8"/>
    <mergeCell ref="H9:I10"/>
    <mergeCell ref="Q12:R13"/>
    <mergeCell ref="Q14:R14"/>
    <mergeCell ref="P14:P15"/>
    <mergeCell ref="J9:J10"/>
    <mergeCell ref="M9:N10"/>
    <mergeCell ref="P12:P13"/>
  </mergeCells>
  <phoneticPr fontId="2" type="noConversion"/>
  <conditionalFormatting sqref="R14">
    <cfRule type="expression" dxfId="31" priority="1" stopIfTrue="1">
      <formula>AND(U14&gt;U13,U14&lt;U15)</formula>
    </cfRule>
  </conditionalFormatting>
  <conditionalFormatting sqref="R15">
    <cfRule type="expression" dxfId="30" priority="2" stopIfTrue="1">
      <formula>AND(U14&gt;U13,U14&lt;U15)</formula>
    </cfRule>
  </conditionalFormatting>
  <conditionalFormatting sqref="S14">
    <cfRule type="expression" dxfId="29" priority="3" stopIfTrue="1">
      <formula>AND(W14&gt;W13,W14&lt;W15)</formula>
    </cfRule>
  </conditionalFormatting>
  <conditionalFormatting sqref="U17">
    <cfRule type="expression" dxfId="28" priority="4" stopIfTrue="1">
      <formula>AND(W14&gt;W13,W14&lt;W15)</formula>
    </cfRule>
  </conditionalFormatting>
  <conditionalFormatting sqref="G13">
    <cfRule type="expression" dxfId="27" priority="5" stopIfTrue="1">
      <formula>$G$9&lt;&gt;1</formula>
    </cfRule>
    <cfRule type="expression" dxfId="26" priority="6" stopIfTrue="1">
      <formula>AND(W15&gt;W14,W15&lt;T16)</formula>
    </cfRule>
  </conditionalFormatting>
  <conditionalFormatting sqref="G12">
    <cfRule type="expression" dxfId="25" priority="7" stopIfTrue="1">
      <formula>$G$9&lt;&gt;1</formula>
    </cfRule>
    <cfRule type="expression" dxfId="24" priority="8" stopIfTrue="1">
      <formula>AND(W14&gt;W13,W14&lt;W15)</formula>
    </cfRule>
  </conditionalFormatting>
  <conditionalFormatting sqref="P15">
    <cfRule type="expression" dxfId="23" priority="9" stopIfTrue="1">
      <formula>AND(W15&gt;W14,W15&lt;T16)</formula>
    </cfRule>
  </conditionalFormatting>
  <conditionalFormatting sqref="P14">
    <cfRule type="expression" dxfId="22" priority="10" stopIfTrue="1">
      <formula>AND(W14&gt;W13,W14&lt;W15)</formula>
    </cfRule>
  </conditionalFormatting>
  <conditionalFormatting sqref="Q14">
    <cfRule type="expression" dxfId="21" priority="11" stopIfTrue="1">
      <formula>AND(W14&gt;W13,W14&lt;W15)</formula>
    </cfRule>
  </conditionalFormatting>
  <conditionalFormatting sqref="Q15">
    <cfRule type="expression" dxfId="20" priority="12" stopIfTrue="1">
      <formula>AND(W14&gt;W13,W14&lt;W15)</formula>
    </cfRule>
  </conditionalFormatting>
  <dataValidations count="5">
    <dataValidation type="list" allowBlank="1" showInputMessage="1" showErrorMessage="1" sqref="K9:L9">
      <formula1>Marques_Caméras</formula1>
    </dataValidation>
    <dataValidation type="list" allowBlank="1" showInputMessage="1" showErrorMessage="1" sqref="M9:O9">
      <formula1>INDIRECT($K$9)</formula1>
    </dataValidation>
    <dataValidation type="list" allowBlank="1" showInputMessage="1" showErrorMessage="1" sqref="C9">
      <formula1>Marques_OTA</formula1>
    </dataValidation>
    <dataValidation type="list" allowBlank="1" showInputMessage="1" showErrorMessage="1" sqref="E9:F9">
      <formula1>INDIRECT($C$9)</formula1>
    </dataValidation>
    <dataValidation type="list" allowBlank="1" showInputMessage="1" showErrorMessage="1" sqref="H9:I10">
      <formula1>λ</formula1>
    </dataValidation>
  </dataValidations>
  <hyperlinks>
    <hyperlink ref="C41" r:id="rId1" display="http://fr.wikipedia.org/wiki/Th%C3%A9or%C3%A8me_d%27%C3%A9chantillonnage_de_Nyquist-Shannon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1"/>
  <sheetViews>
    <sheetView workbookViewId="0">
      <selection activeCell="H30" sqref="H30"/>
    </sheetView>
  </sheetViews>
  <sheetFormatPr baseColWidth="10" defaultRowHeight="12.75"/>
  <cols>
    <col min="1" max="1" width="27.5703125" style="3" customWidth="1"/>
    <col min="2" max="2" width="22.140625" style="1" bestFit="1" customWidth="1"/>
    <col min="3" max="3" width="7.5703125" style="25" bestFit="1" customWidth="1"/>
    <col min="4" max="4" width="7.28515625" style="25" bestFit="1" customWidth="1"/>
    <col min="5" max="5" width="5" style="1" bestFit="1" customWidth="1"/>
    <col min="6" max="6" width="14.42578125" style="25" customWidth="1"/>
    <col min="7" max="7" width="11.42578125" style="25"/>
    <col min="8" max="8" width="19.140625" style="25" customWidth="1"/>
    <col min="9" max="9" width="9" style="25" customWidth="1"/>
    <col min="10" max="16384" width="11.42578125" style="25"/>
  </cols>
  <sheetData>
    <row r="1" spans="1:9" ht="25.5" customHeight="1">
      <c r="A1" s="97" t="s">
        <v>0</v>
      </c>
      <c r="B1" s="98" t="s">
        <v>1</v>
      </c>
      <c r="C1" s="99" t="s">
        <v>209</v>
      </c>
      <c r="D1" s="99" t="s">
        <v>210</v>
      </c>
      <c r="E1" s="99" t="s">
        <v>211</v>
      </c>
      <c r="F1" s="95" t="str">
        <f>"R ('')                    λ = "&amp;VLOOKUP('Champ - Echantillonnage'!$H$9,H2:I12,2,0)&amp;" nm"</f>
        <v>R ('')                    λ = 550 nm</v>
      </c>
      <c r="H1" s="107" t="s">
        <v>457</v>
      </c>
      <c r="I1" s="107" t="s">
        <v>450</v>
      </c>
    </row>
    <row r="2" spans="1:9" ht="12.75" customHeight="1">
      <c r="A2" s="198" t="s">
        <v>212</v>
      </c>
      <c r="B2" s="33" t="s">
        <v>213</v>
      </c>
      <c r="C2" s="34">
        <v>200</v>
      </c>
      <c r="D2" s="34">
        <v>720</v>
      </c>
      <c r="E2" s="34">
        <f t="shared" ref="E2:E7" si="0">ROUND(D2/C2,1)</f>
        <v>3.6</v>
      </c>
      <c r="F2" s="114">
        <f>0.25164*VLOOKUP('Champ - Echantillonnage'!$H$9,'Tubes optiques'!$H$2:$I$12,2,0)/C2</f>
        <v>0.6920099999999999</v>
      </c>
      <c r="H2" s="113" t="str">
        <f>"Infrarouge ("&amp;I2&amp;" nm)"</f>
        <v>Infrarouge (800 nm)</v>
      </c>
      <c r="I2" s="108">
        <v>800</v>
      </c>
    </row>
    <row r="3" spans="1:9" ht="12.75" customHeight="1">
      <c r="A3" s="198"/>
      <c r="B3" s="33" t="s">
        <v>214</v>
      </c>
      <c r="C3" s="34">
        <v>250</v>
      </c>
      <c r="D3" s="34">
        <v>900</v>
      </c>
      <c r="E3" s="34">
        <f t="shared" si="0"/>
        <v>3.6</v>
      </c>
      <c r="F3" s="114">
        <f>0.25164*VLOOKUP('Champ - Echantillonnage'!$H$9,'Tubes optiques'!$H$2:$I$12,2,0)/C3</f>
        <v>0.55360799999999999</v>
      </c>
      <c r="H3" s="113" t="str">
        <f>"Rouge ("&amp;I3&amp;" nm)"</f>
        <v>Rouge (650 nm)</v>
      </c>
      <c r="I3" s="108">
        <v>650</v>
      </c>
    </row>
    <row r="4" spans="1:9" ht="12.75" customHeight="1">
      <c r="A4" s="198"/>
      <c r="B4" s="33" t="s">
        <v>215</v>
      </c>
      <c r="C4" s="34">
        <v>300</v>
      </c>
      <c r="D4" s="34">
        <v>1080</v>
      </c>
      <c r="E4" s="34">
        <f t="shared" si="0"/>
        <v>3.6</v>
      </c>
      <c r="F4" s="114">
        <f>0.25164*VLOOKUP('Champ - Echantillonnage'!$H$9,'Tubes optiques'!$H$2:$I$12,2,0)/C4</f>
        <v>0.46133999999999997</v>
      </c>
      <c r="H4" s="113" t="str">
        <f>"Vert ("&amp;I4&amp;" nm)"</f>
        <v>Vert (550 nm)</v>
      </c>
      <c r="I4" s="108">
        <v>550</v>
      </c>
    </row>
    <row r="5" spans="1:9" ht="12.75" customHeight="1">
      <c r="A5" s="198"/>
      <c r="B5" s="33" t="s">
        <v>216</v>
      </c>
      <c r="C5" s="34">
        <v>400</v>
      </c>
      <c r="D5" s="34">
        <v>1440</v>
      </c>
      <c r="E5" s="34">
        <f t="shared" si="0"/>
        <v>3.6</v>
      </c>
      <c r="F5" s="114">
        <f>0.25164*VLOOKUP('Champ - Echantillonnage'!$H$9,'Tubes optiques'!$H$2:$I$12,2,0)/C5</f>
        <v>0.34600499999999995</v>
      </c>
      <c r="H5" s="113" t="str">
        <f>"Bleu ("&amp;I5&amp;" nm)"</f>
        <v>Bleu (450 nm)</v>
      </c>
      <c r="I5" s="108">
        <v>450</v>
      </c>
    </row>
    <row r="6" spans="1:9" ht="12.75" customHeight="1">
      <c r="A6" s="198"/>
      <c r="B6" s="33" t="s">
        <v>217</v>
      </c>
      <c r="C6" s="34">
        <v>500</v>
      </c>
      <c r="D6" s="34">
        <v>1900</v>
      </c>
      <c r="E6" s="34">
        <f t="shared" si="0"/>
        <v>3.8</v>
      </c>
      <c r="F6" s="114">
        <f>0.25164*VLOOKUP('Champ - Echantillonnage'!$H$9,'Tubes optiques'!$H$2:$I$12,2,0)/C6</f>
        <v>0.27680399999999999</v>
      </c>
      <c r="H6" s="113" t="str">
        <f>"Ultraviolet ("&amp;I6&amp;" nm)"</f>
        <v>Ultraviolet (300 nm)</v>
      </c>
      <c r="I6" s="108">
        <v>300</v>
      </c>
    </row>
    <row r="7" spans="1:9" ht="12.75" customHeight="1">
      <c r="A7" s="198" t="s">
        <v>218</v>
      </c>
      <c r="B7" s="35" t="s">
        <v>219</v>
      </c>
      <c r="C7" s="36">
        <v>160</v>
      </c>
      <c r="D7" s="36">
        <v>1200</v>
      </c>
      <c r="E7" s="36">
        <f t="shared" si="0"/>
        <v>7.5</v>
      </c>
      <c r="F7" s="116">
        <f>0.25164*VLOOKUP('Champ - Echantillonnage'!$H$9,'Tubes optiques'!$H$2:$I$12,2,0)/C7</f>
        <v>0.86501249999999996</v>
      </c>
      <c r="H7" s="113" t="str">
        <f>"Hα ("&amp;I7&amp;" nm)"</f>
        <v>Hα (656,3 nm)</v>
      </c>
      <c r="I7" s="111">
        <v>656.3</v>
      </c>
    </row>
    <row r="8" spans="1:9" ht="12.75" customHeight="1">
      <c r="A8" s="198"/>
      <c r="B8" s="35" t="s">
        <v>220</v>
      </c>
      <c r="C8" s="36">
        <v>140</v>
      </c>
      <c r="D8" s="36">
        <v>1050</v>
      </c>
      <c r="E8" s="36">
        <f t="shared" ref="E8:E111" si="1">ROUND(D8/C8,1)</f>
        <v>7.5</v>
      </c>
      <c r="F8" s="116">
        <f>0.25164*VLOOKUP('Champ - Echantillonnage'!$H$9,'Tubes optiques'!$H$2:$I$12,2,0)/C8</f>
        <v>0.98858571428571418</v>
      </c>
      <c r="H8" s="113" t="str">
        <f>"Hβ ("&amp;I8&amp;" nm)"</f>
        <v>Hβ (486,1 nm)</v>
      </c>
      <c r="I8" s="111">
        <v>486.1</v>
      </c>
    </row>
    <row r="9" spans="1:9" ht="12.75" customHeight="1">
      <c r="A9" s="198"/>
      <c r="B9" s="35" t="s">
        <v>221</v>
      </c>
      <c r="C9" s="36">
        <v>130</v>
      </c>
      <c r="D9" s="36">
        <v>819</v>
      </c>
      <c r="E9" s="36">
        <f t="shared" si="1"/>
        <v>6.3</v>
      </c>
      <c r="F9" s="116">
        <f>0.25164*VLOOKUP('Champ - Echantillonnage'!$H$9,'Tubes optiques'!$H$2:$I$12,2,0)/C9</f>
        <v>1.064630769230769</v>
      </c>
      <c r="H9" s="113" t="str">
        <f>"Hγ ("&amp;I9&amp;" nm)"</f>
        <v>Hγ (434,1 nm)</v>
      </c>
      <c r="I9" s="111">
        <v>434.1</v>
      </c>
    </row>
    <row r="10" spans="1:9" ht="12.75" customHeight="1">
      <c r="A10" s="198"/>
      <c r="B10" s="35" t="s">
        <v>222</v>
      </c>
      <c r="C10" s="36">
        <v>155</v>
      </c>
      <c r="D10" s="36">
        <v>1395</v>
      </c>
      <c r="E10" s="36">
        <f>ROUND(D10/C10,1)</f>
        <v>9</v>
      </c>
      <c r="F10" s="116">
        <f>0.25164*VLOOKUP('Champ - Echantillonnage'!$H$9,'Tubes optiques'!$H$2:$I$12,2,0)/C10</f>
        <v>0.89291612903225803</v>
      </c>
      <c r="H10" s="113" t="str">
        <f>"OIII ("&amp;I10&amp;" nm)"</f>
        <v>OIII (500,7 nm)</v>
      </c>
      <c r="I10" s="108">
        <v>500.7</v>
      </c>
    </row>
    <row r="11" spans="1:9" ht="12.75" customHeight="1">
      <c r="A11" s="198"/>
      <c r="B11" s="35" t="s">
        <v>223</v>
      </c>
      <c r="C11" s="36">
        <v>155</v>
      </c>
      <c r="D11" s="36">
        <v>1085</v>
      </c>
      <c r="E11" s="36">
        <f>ROUND(D11/C11,1)</f>
        <v>7</v>
      </c>
      <c r="F11" s="116">
        <f>0.25164*VLOOKUP('Champ - Echantillonnage'!$H$9,'Tubes optiques'!$H$2:$I$12,2,0)/C11</f>
        <v>0.89291612903225803</v>
      </c>
      <c r="H11" s="113" t="str">
        <f>"SII ("&amp;I11&amp;" nm)"</f>
        <v>SII (671,8 nm)</v>
      </c>
      <c r="I11" s="108">
        <v>671.8</v>
      </c>
    </row>
    <row r="12" spans="1:9" ht="12.75" customHeight="1">
      <c r="A12" s="198"/>
      <c r="B12" s="35" t="s">
        <v>224</v>
      </c>
      <c r="C12" s="36">
        <v>130</v>
      </c>
      <c r="D12" s="36">
        <v>780</v>
      </c>
      <c r="E12" s="36">
        <f>ROUND(D12/C12,1)</f>
        <v>6</v>
      </c>
      <c r="F12" s="116">
        <f>0.25164*VLOOKUP('Champ - Echantillonnage'!$H$9,'Tubes optiques'!$H$2:$I$12,2,0)/C12</f>
        <v>1.064630769230769</v>
      </c>
      <c r="H12" s="113" t="s">
        <v>456</v>
      </c>
      <c r="I12" s="10">
        <f>'Champ - Echantillonnage'!H25</f>
        <v>550</v>
      </c>
    </row>
    <row r="13" spans="1:9" ht="12.75" customHeight="1">
      <c r="A13" s="198"/>
      <c r="B13" s="35" t="s">
        <v>225</v>
      </c>
      <c r="C13" s="36">
        <v>130</v>
      </c>
      <c r="D13" s="36">
        <v>1040</v>
      </c>
      <c r="E13" s="36">
        <f>ROUND(D13/C13,1)</f>
        <v>8</v>
      </c>
      <c r="F13" s="116">
        <f>0.25164*VLOOKUP('Champ - Echantillonnage'!$H$9,'Tubes optiques'!$H$2:$I$12,2,0)/C13</f>
        <v>1.064630769230769</v>
      </c>
    </row>
    <row r="14" spans="1:9" ht="12.75" customHeight="1">
      <c r="A14" s="198"/>
      <c r="B14" s="35" t="s">
        <v>226</v>
      </c>
      <c r="C14" s="36">
        <v>105</v>
      </c>
      <c r="D14" s="36">
        <v>819</v>
      </c>
      <c r="E14" s="36">
        <f>ROUND(D14/C14,1)</f>
        <v>7.8</v>
      </c>
      <c r="F14" s="116">
        <f>0.25164*VLOOKUP('Champ - Echantillonnage'!$H$9,'Tubes optiques'!$H$2:$I$12,2,0)/C14</f>
        <v>1.3181142857142856</v>
      </c>
    </row>
    <row r="15" spans="1:9" ht="12.75" customHeight="1">
      <c r="A15" s="198"/>
      <c r="B15" s="35" t="s">
        <v>227</v>
      </c>
      <c r="C15" s="36">
        <v>305</v>
      </c>
      <c r="D15" s="36">
        <v>1159</v>
      </c>
      <c r="E15" s="36">
        <f t="shared" si="1"/>
        <v>3.8</v>
      </c>
      <c r="F15" s="116">
        <f>0.25164*VLOOKUP('Champ - Echantillonnage'!$H$9,'Tubes optiques'!$H$2:$I$12,2,0)/C15</f>
        <v>0.45377704918032785</v>
      </c>
    </row>
    <row r="16" spans="1:9" ht="12.75" customHeight="1">
      <c r="A16" s="201" t="s">
        <v>410</v>
      </c>
      <c r="B16" s="92" t="s">
        <v>413</v>
      </c>
      <c r="C16" s="91">
        <v>65</v>
      </c>
      <c r="D16" s="91">
        <v>420</v>
      </c>
      <c r="E16" s="91">
        <f t="shared" si="1"/>
        <v>6.5</v>
      </c>
      <c r="F16" s="117">
        <f>0.25164*VLOOKUP('Champ - Echantillonnage'!$H$9,'Tubes optiques'!$H$2:$I$12,2,0)/C16</f>
        <v>2.1292615384615381</v>
      </c>
    </row>
    <row r="17" spans="1:6" ht="12.75" customHeight="1">
      <c r="A17" s="201"/>
      <c r="B17" s="92" t="s">
        <v>414</v>
      </c>
      <c r="C17" s="91">
        <v>72</v>
      </c>
      <c r="D17" s="91">
        <v>430</v>
      </c>
      <c r="E17" s="91">
        <f t="shared" si="1"/>
        <v>6</v>
      </c>
      <c r="F17" s="117">
        <f>0.25164*VLOOKUP('Champ - Echantillonnage'!$H$9,'Tubes optiques'!$H$2:$I$12,2,0)/C17</f>
        <v>1.9222499999999998</v>
      </c>
    </row>
    <row r="18" spans="1:6" ht="12.75" customHeight="1">
      <c r="A18" s="201"/>
      <c r="B18" s="92" t="s">
        <v>411</v>
      </c>
      <c r="C18" s="91">
        <v>80</v>
      </c>
      <c r="D18" s="91">
        <v>480</v>
      </c>
      <c r="E18" s="91">
        <f t="shared" ref="E18:E25" si="2">ROUND(D18/C18,1)</f>
        <v>6</v>
      </c>
      <c r="F18" s="117">
        <f>0.25164*VLOOKUP('Champ - Echantillonnage'!$H$9,'Tubes optiques'!$H$2:$I$12,2,0)/C18</f>
        <v>1.7300249999999999</v>
      </c>
    </row>
    <row r="19" spans="1:6" ht="12.75" customHeight="1">
      <c r="A19" s="201"/>
      <c r="B19" s="92" t="s">
        <v>415</v>
      </c>
      <c r="C19" s="91">
        <v>90</v>
      </c>
      <c r="D19" s="91">
        <v>600</v>
      </c>
      <c r="E19" s="91">
        <f t="shared" si="2"/>
        <v>6.7</v>
      </c>
      <c r="F19" s="117">
        <f>0.25164*VLOOKUP('Champ - Echantillonnage'!$H$9,'Tubes optiques'!$H$2:$I$12,2,0)/C19</f>
        <v>1.5377999999999998</v>
      </c>
    </row>
    <row r="20" spans="1:6" ht="12.75" customHeight="1">
      <c r="A20" s="201"/>
      <c r="B20" s="92" t="s">
        <v>416</v>
      </c>
      <c r="C20" s="91">
        <v>106</v>
      </c>
      <c r="D20" s="91">
        <v>690</v>
      </c>
      <c r="E20" s="91">
        <f t="shared" si="2"/>
        <v>6.5</v>
      </c>
      <c r="F20" s="117">
        <f>0.25164*VLOOKUP('Champ - Echantillonnage'!$H$9,'Tubes optiques'!$H$2:$I$12,2,0)/C20</f>
        <v>1.3056792452830188</v>
      </c>
    </row>
    <row r="21" spans="1:6" ht="12.75" customHeight="1">
      <c r="A21" s="201"/>
      <c r="B21" s="92" t="s">
        <v>417</v>
      </c>
      <c r="C21" s="91">
        <v>111</v>
      </c>
      <c r="D21" s="91">
        <v>777</v>
      </c>
      <c r="E21" s="91">
        <f t="shared" si="2"/>
        <v>7</v>
      </c>
      <c r="F21" s="117">
        <f>0.25164*VLOOKUP('Champ - Echantillonnage'!$H$9,'Tubes optiques'!$H$2:$I$12,2,0)/C21</f>
        <v>1.2468648648648648</v>
      </c>
    </row>
    <row r="22" spans="1:6" ht="12.75" customHeight="1">
      <c r="A22" s="201"/>
      <c r="B22" s="92" t="s">
        <v>418</v>
      </c>
      <c r="C22" s="91">
        <v>130</v>
      </c>
      <c r="D22" s="91">
        <v>780</v>
      </c>
      <c r="E22" s="91">
        <f t="shared" si="2"/>
        <v>6</v>
      </c>
      <c r="F22" s="117">
        <f>0.25164*VLOOKUP('Champ - Echantillonnage'!$H$9,'Tubes optiques'!$H$2:$I$12,2,0)/C22</f>
        <v>1.064630769230769</v>
      </c>
    </row>
    <row r="23" spans="1:6" ht="12.75" customHeight="1">
      <c r="A23" s="201"/>
      <c r="B23" s="92" t="s">
        <v>422</v>
      </c>
      <c r="C23" s="91">
        <v>152</v>
      </c>
      <c r="D23" s="91">
        <v>1370</v>
      </c>
      <c r="E23" s="91">
        <f t="shared" si="2"/>
        <v>9</v>
      </c>
      <c r="F23" s="117">
        <f>0.25164*VLOOKUP('Champ - Echantillonnage'!$H$9,'Tubes optiques'!$H$2:$I$12,2,0)/C23</f>
        <v>0.9105394736842104</v>
      </c>
    </row>
    <row r="24" spans="1:6" ht="12.75" customHeight="1">
      <c r="A24" s="201"/>
      <c r="B24" s="92" t="s">
        <v>419</v>
      </c>
      <c r="C24" s="91">
        <v>203</v>
      </c>
      <c r="D24" s="91">
        <v>1625</v>
      </c>
      <c r="E24" s="91">
        <f t="shared" si="2"/>
        <v>8</v>
      </c>
      <c r="F24" s="117">
        <f>0.25164*VLOOKUP('Champ - Echantillonnage'!$H$9,'Tubes optiques'!$H$2:$I$12,2,0)/C24</f>
        <v>0.68178325123152705</v>
      </c>
    </row>
    <row r="25" spans="1:6" ht="12.75" customHeight="1">
      <c r="A25" s="201"/>
      <c r="B25" s="92" t="s">
        <v>420</v>
      </c>
      <c r="C25" s="91">
        <v>250</v>
      </c>
      <c r="D25" s="91">
        <v>2000</v>
      </c>
      <c r="E25" s="91">
        <f t="shared" si="2"/>
        <v>8</v>
      </c>
      <c r="F25" s="117">
        <f>0.25164*VLOOKUP('Champ - Echantillonnage'!$H$9,'Tubes optiques'!$H$2:$I$12,2,0)/C25</f>
        <v>0.55360799999999999</v>
      </c>
    </row>
    <row r="26" spans="1:6" ht="12.75" customHeight="1">
      <c r="A26" s="198" t="s">
        <v>228</v>
      </c>
      <c r="B26" s="43" t="s">
        <v>412</v>
      </c>
      <c r="C26" s="44">
        <v>80</v>
      </c>
      <c r="D26" s="44">
        <v>500</v>
      </c>
      <c r="E26" s="44">
        <f t="shared" si="1"/>
        <v>6.3</v>
      </c>
      <c r="F26" s="118">
        <f>0.25164*VLOOKUP('Champ - Echantillonnage'!$H$9,'Tubes optiques'!$H$2:$I$12,2,0)/C26</f>
        <v>1.7300249999999999</v>
      </c>
    </row>
    <row r="27" spans="1:6" ht="12.75" customHeight="1">
      <c r="A27" s="198"/>
      <c r="B27" s="43" t="s">
        <v>395</v>
      </c>
      <c r="C27" s="44">
        <v>203</v>
      </c>
      <c r="D27" s="44">
        <v>2032</v>
      </c>
      <c r="E27" s="44">
        <f>ROUND(D27/C27,1)</f>
        <v>10</v>
      </c>
      <c r="F27" s="118">
        <f>0.25164*VLOOKUP('Champ - Echantillonnage'!$H$9,'Tubes optiques'!$H$2:$I$12,2,0)/C27</f>
        <v>0.68178325123152705</v>
      </c>
    </row>
    <row r="28" spans="1:6" ht="12.75" customHeight="1">
      <c r="A28" s="198"/>
      <c r="B28" s="43" t="s">
        <v>396</v>
      </c>
      <c r="C28" s="44">
        <v>235</v>
      </c>
      <c r="D28" s="44">
        <v>2350</v>
      </c>
      <c r="E28" s="44">
        <f t="shared" si="1"/>
        <v>10</v>
      </c>
      <c r="F28" s="118">
        <f>0.25164*VLOOKUP('Champ - Echantillonnage'!$H$9,'Tubes optiques'!$H$2:$I$12,2,0)/C28</f>
        <v>0.58894468085106377</v>
      </c>
    </row>
    <row r="29" spans="1:6" ht="12.75" customHeight="1">
      <c r="A29" s="198"/>
      <c r="B29" s="43" t="s">
        <v>397</v>
      </c>
      <c r="C29" s="44">
        <v>280</v>
      </c>
      <c r="D29" s="44">
        <v>2800</v>
      </c>
      <c r="E29" s="44">
        <f t="shared" si="1"/>
        <v>10</v>
      </c>
      <c r="F29" s="118">
        <f>0.25164*VLOOKUP('Champ - Echantillonnage'!$H$9,'Tubes optiques'!$H$2:$I$12,2,0)/C29</f>
        <v>0.49429285714285709</v>
      </c>
    </row>
    <row r="30" spans="1:6" ht="12.75" customHeight="1">
      <c r="A30" s="198"/>
      <c r="B30" s="43" t="s">
        <v>398</v>
      </c>
      <c r="C30" s="44">
        <v>355</v>
      </c>
      <c r="D30" s="44">
        <v>3910</v>
      </c>
      <c r="E30" s="44">
        <f t="shared" si="1"/>
        <v>11</v>
      </c>
      <c r="F30" s="118">
        <f>0.25164*VLOOKUP('Champ - Echantillonnage'!$H$9,'Tubes optiques'!$H$2:$I$12,2,0)/C30</f>
        <v>0.38986478873239433</v>
      </c>
    </row>
    <row r="31" spans="1:6" ht="12.75" customHeight="1">
      <c r="A31" s="201" t="s">
        <v>440</v>
      </c>
      <c r="B31" s="35" t="s">
        <v>422</v>
      </c>
      <c r="C31" s="36">
        <v>152</v>
      </c>
      <c r="D31" s="36">
        <v>1370</v>
      </c>
      <c r="E31" s="36">
        <f t="shared" si="1"/>
        <v>9</v>
      </c>
      <c r="F31" s="116">
        <f>0.25164*VLOOKUP('Champ - Echantillonnage'!$H$9,'Tubes optiques'!$H$2:$I$12,2,0)/C31</f>
        <v>0.9105394736842104</v>
      </c>
    </row>
    <row r="32" spans="1:6" ht="12.75" customHeight="1">
      <c r="A32" s="201"/>
      <c r="B32" s="35" t="s">
        <v>419</v>
      </c>
      <c r="C32" s="36">
        <v>203</v>
      </c>
      <c r="D32" s="36">
        <v>1624</v>
      </c>
      <c r="E32" s="36">
        <f t="shared" si="1"/>
        <v>8</v>
      </c>
      <c r="F32" s="116">
        <f>0.25164*VLOOKUP('Champ - Echantillonnage'!$H$9,'Tubes optiques'!$H$2:$I$12,2,0)/C32</f>
        <v>0.68178325123152705</v>
      </c>
    </row>
    <row r="33" spans="1:6" ht="12.75" customHeight="1">
      <c r="A33" s="201"/>
      <c r="B33" s="35" t="s">
        <v>420</v>
      </c>
      <c r="C33" s="36">
        <v>254</v>
      </c>
      <c r="D33" s="36">
        <v>2000</v>
      </c>
      <c r="E33" s="36">
        <f t="shared" si="1"/>
        <v>7.9</v>
      </c>
      <c r="F33" s="116">
        <f>0.25164*VLOOKUP('Champ - Echantillonnage'!$H$9,'Tubes optiques'!$H$2:$I$12,2,0)/C33</f>
        <v>0.54488976377952747</v>
      </c>
    </row>
    <row r="34" spans="1:6" ht="12.75" customHeight="1">
      <c r="A34" s="201"/>
      <c r="B34" s="35" t="s">
        <v>421</v>
      </c>
      <c r="C34" s="36">
        <v>305</v>
      </c>
      <c r="D34" s="36">
        <v>2432</v>
      </c>
      <c r="E34" s="36">
        <f t="shared" si="1"/>
        <v>8</v>
      </c>
      <c r="F34" s="116">
        <f>0.25164*VLOOKUP('Champ - Echantillonnage'!$H$9,'Tubes optiques'!$H$2:$I$12,2,0)/C34</f>
        <v>0.45377704918032785</v>
      </c>
    </row>
    <row r="35" spans="1:6" ht="12.75" customHeight="1">
      <c r="A35" s="198" t="s">
        <v>229</v>
      </c>
      <c r="B35" s="37" t="s">
        <v>230</v>
      </c>
      <c r="C35" s="38">
        <v>203</v>
      </c>
      <c r="D35" s="38">
        <v>2000</v>
      </c>
      <c r="E35" s="38">
        <f t="shared" si="1"/>
        <v>9.9</v>
      </c>
      <c r="F35" s="119">
        <f>0.25164*VLOOKUP('Champ - Echantillonnage'!$H$9,'Tubes optiques'!$H$2:$I$12,2,0)/C35</f>
        <v>0.68178325123152705</v>
      </c>
    </row>
    <row r="36" spans="1:6" ht="12.75" customHeight="1">
      <c r="A36" s="198"/>
      <c r="B36" s="37" t="s">
        <v>231</v>
      </c>
      <c r="C36" s="38">
        <v>254</v>
      </c>
      <c r="D36" s="38">
        <v>2500</v>
      </c>
      <c r="E36" s="38">
        <f t="shared" si="1"/>
        <v>9.8000000000000007</v>
      </c>
      <c r="F36" s="119">
        <f>0.25164*VLOOKUP('Champ - Echantillonnage'!$H$9,'Tubes optiques'!$H$2:$I$12,2,0)/C36</f>
        <v>0.54488976377952747</v>
      </c>
    </row>
    <row r="37" spans="1:6" ht="12.75" customHeight="1">
      <c r="A37" s="198"/>
      <c r="B37" s="37" t="s">
        <v>232</v>
      </c>
      <c r="C37" s="38">
        <v>305</v>
      </c>
      <c r="D37" s="38">
        <v>3048</v>
      </c>
      <c r="E37" s="38">
        <f t="shared" si="1"/>
        <v>10</v>
      </c>
      <c r="F37" s="119">
        <f>0.25164*VLOOKUP('Champ - Echantillonnage'!$H$9,'Tubes optiques'!$H$2:$I$12,2,0)/C37</f>
        <v>0.45377704918032785</v>
      </c>
    </row>
    <row r="38" spans="1:6" ht="12.75" customHeight="1">
      <c r="A38" s="198"/>
      <c r="B38" s="37" t="s">
        <v>233</v>
      </c>
      <c r="C38" s="38">
        <v>355</v>
      </c>
      <c r="D38" s="38">
        <v>3556</v>
      </c>
      <c r="E38" s="38">
        <f t="shared" si="1"/>
        <v>10</v>
      </c>
      <c r="F38" s="119">
        <f>0.25164*VLOOKUP('Champ - Echantillonnage'!$H$9,'Tubes optiques'!$H$2:$I$12,2,0)/C38</f>
        <v>0.38986478873239433</v>
      </c>
    </row>
    <row r="39" spans="1:6" ht="12.75" customHeight="1">
      <c r="A39" s="198"/>
      <c r="B39" s="37" t="s">
        <v>234</v>
      </c>
      <c r="C39" s="38">
        <v>406</v>
      </c>
      <c r="D39" s="38">
        <v>4064</v>
      </c>
      <c r="E39" s="38">
        <f t="shared" si="1"/>
        <v>10</v>
      </c>
      <c r="F39" s="119">
        <f>0.25164*VLOOKUP('Champ - Echantillonnage'!$H$9,'Tubes optiques'!$H$2:$I$12,2,0)/C39</f>
        <v>0.34089162561576353</v>
      </c>
    </row>
    <row r="40" spans="1:6" ht="12.75" customHeight="1">
      <c r="A40" s="198"/>
      <c r="B40" s="37" t="s">
        <v>235</v>
      </c>
      <c r="C40" s="38">
        <v>203</v>
      </c>
      <c r="D40" s="38">
        <v>2034</v>
      </c>
      <c r="E40" s="38">
        <f t="shared" si="1"/>
        <v>10</v>
      </c>
      <c r="F40" s="119">
        <f>0.25164*VLOOKUP('Champ - Echantillonnage'!$H$9,'Tubes optiques'!$H$2:$I$12,2,0)/C40</f>
        <v>0.68178325123152705</v>
      </c>
    </row>
    <row r="41" spans="1:6" ht="12.75" customHeight="1">
      <c r="A41" s="198"/>
      <c r="B41" s="37" t="s">
        <v>236</v>
      </c>
      <c r="C41" s="38">
        <v>254</v>
      </c>
      <c r="D41" s="38">
        <v>2540</v>
      </c>
      <c r="E41" s="38">
        <f t="shared" si="1"/>
        <v>10</v>
      </c>
      <c r="F41" s="119">
        <f>0.25164*VLOOKUP('Champ - Echantillonnage'!$H$9,'Tubes optiques'!$H$2:$I$12,2,0)/C41</f>
        <v>0.54488976377952747</v>
      </c>
    </row>
    <row r="42" spans="1:6" ht="12.75" customHeight="1">
      <c r="A42" s="198"/>
      <c r="B42" s="37" t="s">
        <v>237</v>
      </c>
      <c r="C42" s="38">
        <v>305</v>
      </c>
      <c r="D42" s="38">
        <v>3048</v>
      </c>
      <c r="E42" s="38">
        <f t="shared" si="1"/>
        <v>10</v>
      </c>
      <c r="F42" s="119">
        <f>0.25164*VLOOKUP('Champ - Echantillonnage'!$H$9,'Tubes optiques'!$H$2:$I$12,2,0)/C42</f>
        <v>0.45377704918032785</v>
      </c>
    </row>
    <row r="43" spans="1:6" ht="12.75" customHeight="1">
      <c r="A43" s="201" t="s">
        <v>423</v>
      </c>
      <c r="B43" s="93" t="s">
        <v>426</v>
      </c>
      <c r="C43" s="94">
        <v>80</v>
      </c>
      <c r="D43" s="94">
        <v>480</v>
      </c>
      <c r="E43" s="94">
        <f t="shared" si="1"/>
        <v>6</v>
      </c>
      <c r="F43" s="114">
        <f>0.25164*VLOOKUP('Champ - Echantillonnage'!$H$9,'Tubes optiques'!$H$2:$I$12,2,0)/C43</f>
        <v>1.7300249999999999</v>
      </c>
    </row>
    <row r="44" spans="1:6" ht="12.75" customHeight="1">
      <c r="A44" s="201"/>
      <c r="B44" s="93" t="s">
        <v>427</v>
      </c>
      <c r="C44" s="94">
        <v>105</v>
      </c>
      <c r="D44" s="94">
        <v>650</v>
      </c>
      <c r="E44" s="94">
        <f t="shared" si="1"/>
        <v>6.2</v>
      </c>
      <c r="F44" s="114">
        <f>0.25164*VLOOKUP('Champ - Echantillonnage'!$H$9,'Tubes optiques'!$H$2:$I$12,2,0)/C44</f>
        <v>1.3181142857142856</v>
      </c>
    </row>
    <row r="45" spans="1:6" ht="12.75" customHeight="1">
      <c r="A45" s="201"/>
      <c r="B45" s="93" t="s">
        <v>428</v>
      </c>
      <c r="C45" s="94">
        <v>115</v>
      </c>
      <c r="D45" s="94">
        <v>805</v>
      </c>
      <c r="E45" s="94">
        <f t="shared" si="1"/>
        <v>7</v>
      </c>
      <c r="F45" s="114">
        <f>0.25164*VLOOKUP('Champ - Echantillonnage'!$H$9,'Tubes optiques'!$H$2:$I$12,2,0)/C45</f>
        <v>1.2034956521739129</v>
      </c>
    </row>
    <row r="46" spans="1:6" ht="12.75" customHeight="1">
      <c r="A46" s="201"/>
      <c r="B46" s="93" t="s">
        <v>429</v>
      </c>
      <c r="C46" s="94">
        <v>130</v>
      </c>
      <c r="D46" s="94">
        <v>780</v>
      </c>
      <c r="E46" s="94">
        <f t="shared" si="1"/>
        <v>6</v>
      </c>
      <c r="F46" s="114">
        <f>0.25164*VLOOKUP('Champ - Echantillonnage'!$H$9,'Tubes optiques'!$H$2:$I$12,2,0)/C46</f>
        <v>1.064630769230769</v>
      </c>
    </row>
    <row r="47" spans="1:6" ht="12.75" customHeight="1">
      <c r="A47" s="201"/>
      <c r="B47" s="93" t="s">
        <v>430</v>
      </c>
      <c r="C47" s="94">
        <v>152</v>
      </c>
      <c r="D47" s="94">
        <v>1200</v>
      </c>
      <c r="E47" s="94">
        <f t="shared" si="1"/>
        <v>7.9</v>
      </c>
      <c r="F47" s="114">
        <f>0.25164*VLOOKUP('Champ - Echantillonnage'!$H$9,'Tubes optiques'!$H$2:$I$12,2,0)/C47</f>
        <v>0.9105394736842104</v>
      </c>
    </row>
    <row r="48" spans="1:6" ht="12.75" customHeight="1">
      <c r="A48" s="201"/>
      <c r="B48" s="93" t="s">
        <v>431</v>
      </c>
      <c r="C48" s="94">
        <v>180</v>
      </c>
      <c r="D48" s="94">
        <v>1260</v>
      </c>
      <c r="E48" s="94">
        <f t="shared" si="1"/>
        <v>7</v>
      </c>
      <c r="F48" s="114">
        <f>0.25164*VLOOKUP('Champ - Echantillonnage'!$H$9,'Tubes optiques'!$H$2:$I$12,2,0)/C48</f>
        <v>0.76889999999999992</v>
      </c>
    </row>
    <row r="49" spans="1:6" ht="12.75" customHeight="1">
      <c r="A49" s="201"/>
      <c r="B49" s="93" t="s">
        <v>432</v>
      </c>
      <c r="C49" s="94">
        <v>312</v>
      </c>
      <c r="D49" s="94">
        <v>1680</v>
      </c>
      <c r="E49" s="94">
        <f t="shared" si="1"/>
        <v>5.4</v>
      </c>
      <c r="F49" s="114">
        <f>0.25164*VLOOKUP('Champ - Echantillonnage'!$H$9,'Tubes optiques'!$H$2:$I$12,2,0)/C49</f>
        <v>0.44359615384615381</v>
      </c>
    </row>
    <row r="50" spans="1:6" ht="12.75" customHeight="1">
      <c r="A50" s="201"/>
      <c r="B50" s="93" t="s">
        <v>433</v>
      </c>
      <c r="C50" s="94">
        <v>200</v>
      </c>
      <c r="D50" s="94">
        <v>600</v>
      </c>
      <c r="E50" s="94">
        <f t="shared" si="1"/>
        <v>3</v>
      </c>
      <c r="F50" s="114">
        <f>0.25164*VLOOKUP('Champ - Echantillonnage'!$H$9,'Tubes optiques'!$H$2:$I$12,2,0)/C50</f>
        <v>0.6920099999999999</v>
      </c>
    </row>
    <row r="51" spans="1:6" ht="12.75" customHeight="1">
      <c r="A51" s="201"/>
      <c r="B51" s="93" t="s">
        <v>439</v>
      </c>
      <c r="C51" s="94">
        <v>300</v>
      </c>
      <c r="D51" s="94">
        <v>900</v>
      </c>
      <c r="E51" s="94">
        <f t="shared" si="1"/>
        <v>3</v>
      </c>
      <c r="F51" s="114">
        <f>0.25164*VLOOKUP('Champ - Echantillonnage'!$H$9,'Tubes optiques'!$H$2:$I$12,2,0)/C51</f>
        <v>0.46133999999999997</v>
      </c>
    </row>
    <row r="52" spans="1:6" ht="12.75" customHeight="1">
      <c r="A52" s="201"/>
      <c r="B52" s="93" t="s">
        <v>434</v>
      </c>
      <c r="C52" s="94">
        <v>250</v>
      </c>
      <c r="D52" s="94">
        <v>3125</v>
      </c>
      <c r="E52" s="94">
        <f t="shared" si="1"/>
        <v>12.5</v>
      </c>
      <c r="F52" s="114">
        <f>0.25164*VLOOKUP('Champ - Echantillonnage'!$H$9,'Tubes optiques'!$H$2:$I$12,2,0)/C52</f>
        <v>0.55360799999999999</v>
      </c>
    </row>
    <row r="53" spans="1:6" ht="12.75" customHeight="1">
      <c r="A53" s="201"/>
      <c r="B53" s="93" t="s">
        <v>435</v>
      </c>
      <c r="C53" s="94">
        <v>250</v>
      </c>
      <c r="D53" s="94">
        <v>2000</v>
      </c>
      <c r="E53" s="94">
        <f t="shared" si="1"/>
        <v>8</v>
      </c>
      <c r="F53" s="114">
        <f>0.25164*VLOOKUP('Champ - Echantillonnage'!$H$9,'Tubes optiques'!$H$2:$I$12,2,0)/C53</f>
        <v>0.55360799999999999</v>
      </c>
    </row>
    <row r="54" spans="1:6" ht="12.75" customHeight="1">
      <c r="A54" s="201"/>
      <c r="B54" s="93" t="s">
        <v>436</v>
      </c>
      <c r="C54" s="94">
        <v>320</v>
      </c>
      <c r="D54" s="94">
        <v>2560</v>
      </c>
      <c r="E54" s="94">
        <f t="shared" si="1"/>
        <v>8</v>
      </c>
      <c r="F54" s="114">
        <f>0.25164*VLOOKUP('Champ - Echantillonnage'!$H$9,'Tubes optiques'!$H$2:$I$12,2,0)/C54</f>
        <v>0.43250624999999998</v>
      </c>
    </row>
    <row r="55" spans="1:6" ht="12.75" customHeight="1">
      <c r="A55" s="201"/>
      <c r="B55" s="93" t="s">
        <v>438</v>
      </c>
      <c r="C55" s="94">
        <v>360</v>
      </c>
      <c r="D55" s="94">
        <v>2880</v>
      </c>
      <c r="E55" s="94">
        <f t="shared" si="1"/>
        <v>8</v>
      </c>
      <c r="F55" s="114">
        <f>0.25164*VLOOKUP('Champ - Echantillonnage'!$H$9,'Tubes optiques'!$H$2:$I$12,2,0)/C55</f>
        <v>0.38444999999999996</v>
      </c>
    </row>
    <row r="56" spans="1:6" ht="12.75" customHeight="1">
      <c r="A56" s="201"/>
      <c r="B56" s="93" t="s">
        <v>437</v>
      </c>
      <c r="C56" s="94">
        <v>400</v>
      </c>
      <c r="D56" s="94">
        <v>3200</v>
      </c>
      <c r="E56" s="94">
        <f t="shared" si="1"/>
        <v>8</v>
      </c>
      <c r="F56" s="114">
        <f>0.25164*VLOOKUP('Champ - Echantillonnage'!$H$9,'Tubes optiques'!$H$2:$I$12,2,0)/C56</f>
        <v>0.34600499999999995</v>
      </c>
    </row>
    <row r="57" spans="1:6" ht="12.75" customHeight="1">
      <c r="A57" s="201"/>
      <c r="B57" s="93" t="s">
        <v>437</v>
      </c>
      <c r="C57" s="94">
        <v>500</v>
      </c>
      <c r="D57" s="94">
        <v>4000</v>
      </c>
      <c r="E57" s="94">
        <f t="shared" si="1"/>
        <v>8</v>
      </c>
      <c r="F57" s="114">
        <f>0.25164*VLOOKUP('Champ - Echantillonnage'!$H$9,'Tubes optiques'!$H$2:$I$12,2,0)/C57</f>
        <v>0.27680399999999999</v>
      </c>
    </row>
    <row r="58" spans="1:6" ht="12.75" customHeight="1">
      <c r="A58" s="201"/>
      <c r="B58" s="93" t="s">
        <v>437</v>
      </c>
      <c r="C58" s="94">
        <v>600</v>
      </c>
      <c r="D58" s="94">
        <v>4800</v>
      </c>
      <c r="E58" s="94">
        <f t="shared" si="1"/>
        <v>8</v>
      </c>
      <c r="F58" s="114">
        <f>0.25164*VLOOKUP('Champ - Echantillonnage'!$H$9,'Tubes optiques'!$H$2:$I$12,2,0)/C58</f>
        <v>0.23066999999999999</v>
      </c>
    </row>
    <row r="59" spans="1:6" ht="12.75" customHeight="1">
      <c r="A59" s="198" t="s">
        <v>238</v>
      </c>
      <c r="B59" s="39" t="s">
        <v>239</v>
      </c>
      <c r="C59" s="40">
        <v>80</v>
      </c>
      <c r="D59" s="40">
        <v>600</v>
      </c>
      <c r="E59" s="40">
        <f t="shared" si="1"/>
        <v>7.5</v>
      </c>
      <c r="F59" s="117">
        <f>0.25164*VLOOKUP('Champ - Echantillonnage'!$H$9,'Tubes optiques'!$H$2:$I$12,2,0)/C59</f>
        <v>1.7300249999999999</v>
      </c>
    </row>
    <row r="60" spans="1:6" ht="12.75" customHeight="1">
      <c r="A60" s="198"/>
      <c r="B60" s="39" t="s">
        <v>240</v>
      </c>
      <c r="C60" s="40">
        <v>80</v>
      </c>
      <c r="D60" s="40">
        <v>480</v>
      </c>
      <c r="E60" s="40">
        <f t="shared" si="1"/>
        <v>6</v>
      </c>
      <c r="F60" s="117">
        <f>0.25164*VLOOKUP('Champ - Echantillonnage'!$H$9,'Tubes optiques'!$H$2:$I$12,2,0)/C60</f>
        <v>1.7300249999999999</v>
      </c>
    </row>
    <row r="61" spans="1:6" ht="12.75" customHeight="1">
      <c r="A61" s="198"/>
      <c r="B61" s="39" t="s">
        <v>241</v>
      </c>
      <c r="C61" s="40">
        <v>100</v>
      </c>
      <c r="D61" s="40">
        <v>900</v>
      </c>
      <c r="E61" s="40">
        <f t="shared" si="1"/>
        <v>9</v>
      </c>
      <c r="F61" s="117">
        <f>0.25164*VLOOKUP('Champ - Echantillonnage'!$H$9,'Tubes optiques'!$H$2:$I$12,2,0)/C61</f>
        <v>1.3840199999999998</v>
      </c>
    </row>
    <row r="62" spans="1:6" ht="12.75" customHeight="1">
      <c r="A62" s="198"/>
      <c r="B62" s="39" t="s">
        <v>242</v>
      </c>
      <c r="C62" s="40">
        <v>102</v>
      </c>
      <c r="D62" s="40">
        <v>714</v>
      </c>
      <c r="E62" s="40">
        <f t="shared" si="1"/>
        <v>7</v>
      </c>
      <c r="F62" s="117">
        <f>0.25164*VLOOKUP('Champ - Echantillonnage'!$H$9,'Tubes optiques'!$H$2:$I$12,2,0)/C62</f>
        <v>1.3568823529411764</v>
      </c>
    </row>
    <row r="63" spans="1:6" ht="12.75" customHeight="1">
      <c r="A63" s="198"/>
      <c r="B63" s="39" t="s">
        <v>243</v>
      </c>
      <c r="C63" s="40">
        <v>254</v>
      </c>
      <c r="D63" s="40">
        <v>1000</v>
      </c>
      <c r="E63" s="40">
        <f t="shared" si="1"/>
        <v>3.9</v>
      </c>
      <c r="F63" s="117">
        <f>0.25164*VLOOKUP('Champ - Echantillonnage'!$H$9,'Tubes optiques'!$H$2:$I$12,2,0)/C63</f>
        <v>0.54488976377952747</v>
      </c>
    </row>
    <row r="64" spans="1:6" ht="12.75" customHeight="1">
      <c r="A64" s="198"/>
      <c r="B64" s="39" t="s">
        <v>244</v>
      </c>
      <c r="C64" s="40">
        <v>90</v>
      </c>
      <c r="D64" s="40">
        <v>1250</v>
      </c>
      <c r="E64" s="40">
        <f t="shared" si="1"/>
        <v>13.9</v>
      </c>
      <c r="F64" s="117">
        <f>0.25164*VLOOKUP('Champ - Echantillonnage'!$H$9,'Tubes optiques'!$H$2:$I$12,2,0)/C64</f>
        <v>1.5377999999999998</v>
      </c>
    </row>
    <row r="65" spans="1:6" ht="12.75" customHeight="1">
      <c r="A65" s="198"/>
      <c r="B65" s="39" t="s">
        <v>245</v>
      </c>
      <c r="C65" s="40">
        <v>102</v>
      </c>
      <c r="D65" s="40">
        <v>1300</v>
      </c>
      <c r="E65" s="40">
        <f t="shared" si="1"/>
        <v>12.7</v>
      </c>
      <c r="F65" s="117">
        <f>0.25164*VLOOKUP('Champ - Echantillonnage'!$H$9,'Tubes optiques'!$H$2:$I$12,2,0)/C65</f>
        <v>1.3568823529411764</v>
      </c>
    </row>
    <row r="66" spans="1:6" ht="12.75" customHeight="1">
      <c r="A66" s="198"/>
      <c r="B66" s="39" t="s">
        <v>246</v>
      </c>
      <c r="C66" s="40">
        <v>127</v>
      </c>
      <c r="D66" s="40">
        <v>1540</v>
      </c>
      <c r="E66" s="40">
        <f t="shared" si="1"/>
        <v>12.1</v>
      </c>
      <c r="F66" s="117">
        <f>0.25164*VLOOKUP('Champ - Echantillonnage'!$H$9,'Tubes optiques'!$H$2:$I$12,2,0)/C66</f>
        <v>1.0897795275590549</v>
      </c>
    </row>
    <row r="67" spans="1:6" ht="12.75" customHeight="1">
      <c r="A67" s="198"/>
      <c r="B67" s="39" t="s">
        <v>247</v>
      </c>
      <c r="C67" s="40">
        <v>150</v>
      </c>
      <c r="D67" s="40">
        <v>1800</v>
      </c>
      <c r="E67" s="40">
        <f t="shared" si="1"/>
        <v>12</v>
      </c>
      <c r="F67" s="117">
        <f>0.25164*VLOOKUP('Champ - Echantillonnage'!$H$9,'Tubes optiques'!$H$2:$I$12,2,0)/C67</f>
        <v>0.92267999999999994</v>
      </c>
    </row>
    <row r="68" spans="1:6" ht="12.75" customHeight="1">
      <c r="A68" s="201" t="s">
        <v>496</v>
      </c>
      <c r="B68" s="39"/>
      <c r="C68" s="40"/>
      <c r="D68" s="40"/>
      <c r="E68" s="40"/>
      <c r="F68" s="117"/>
    </row>
    <row r="69" spans="1:6" ht="12.75" customHeight="1">
      <c r="A69" s="201"/>
      <c r="B69" s="39"/>
      <c r="C69" s="40"/>
      <c r="D69" s="40"/>
      <c r="E69" s="40"/>
      <c r="F69" s="117"/>
    </row>
    <row r="70" spans="1:6" ht="12.75" customHeight="1">
      <c r="A70" s="201"/>
      <c r="B70" s="39"/>
      <c r="C70" s="40"/>
      <c r="D70" s="40"/>
      <c r="E70" s="40"/>
      <c r="F70" s="117"/>
    </row>
    <row r="71" spans="1:6" ht="12.75" customHeight="1">
      <c r="A71" s="201"/>
      <c r="B71" s="39"/>
      <c r="C71" s="40"/>
      <c r="D71" s="40"/>
      <c r="E71" s="40"/>
      <c r="F71" s="117"/>
    </row>
    <row r="72" spans="1:6" ht="12.75" customHeight="1">
      <c r="A72" s="201"/>
      <c r="B72" s="39" t="s">
        <v>246</v>
      </c>
      <c r="C72" s="40">
        <v>127</v>
      </c>
      <c r="D72" s="40">
        <v>1500</v>
      </c>
      <c r="E72" s="40">
        <f t="shared" ref="E72" si="3">ROUND(D72/C72,1)</f>
        <v>11.8</v>
      </c>
      <c r="F72" s="117">
        <f>0.25164*VLOOKUP('Champ - Echantillonnage'!$H$9,'Tubes optiques'!$H$2:$I$12,2,0)/C72</f>
        <v>1.0897795275590549</v>
      </c>
    </row>
    <row r="73" spans="1:6" ht="12.75" customHeight="1">
      <c r="A73" s="201"/>
      <c r="B73" s="39"/>
      <c r="C73" s="40"/>
      <c r="D73" s="40"/>
      <c r="E73" s="40"/>
      <c r="F73" s="117"/>
    </row>
    <row r="74" spans="1:6" ht="12.75" customHeight="1">
      <c r="A74" s="201"/>
      <c r="B74" s="39"/>
      <c r="C74" s="40"/>
      <c r="D74" s="40"/>
      <c r="E74" s="40"/>
      <c r="F74" s="117"/>
    </row>
    <row r="75" spans="1:6" ht="12.75" customHeight="1">
      <c r="A75" s="198" t="s">
        <v>248</v>
      </c>
      <c r="B75" s="41" t="s">
        <v>249</v>
      </c>
      <c r="C75" s="42">
        <v>60</v>
      </c>
      <c r="D75" s="42">
        <v>355</v>
      </c>
      <c r="E75" s="42">
        <f t="shared" si="1"/>
        <v>5.9</v>
      </c>
      <c r="F75" s="120">
        <f>0.25164*VLOOKUP('Champ - Echantillonnage'!$H$9,'Tubes optiques'!$H$2:$I$12,2,0)/C75</f>
        <v>2.3066999999999998</v>
      </c>
    </row>
    <row r="76" spans="1:6" ht="12.75" customHeight="1">
      <c r="A76" s="198"/>
      <c r="B76" s="41" t="s">
        <v>250</v>
      </c>
      <c r="C76" s="42">
        <v>90</v>
      </c>
      <c r="D76" s="42">
        <v>500</v>
      </c>
      <c r="E76" s="42">
        <f t="shared" si="1"/>
        <v>5.6</v>
      </c>
      <c r="F76" s="120">
        <f>0.25164*VLOOKUP('Champ - Echantillonnage'!$H$9,'Tubes optiques'!$H$2:$I$12,2,0)/C76</f>
        <v>1.5377999999999998</v>
      </c>
    </row>
    <row r="77" spans="1:6" ht="12.75" customHeight="1">
      <c r="A77" s="198"/>
      <c r="B77" s="41" t="s">
        <v>251</v>
      </c>
      <c r="C77" s="42">
        <v>102</v>
      </c>
      <c r="D77" s="42">
        <v>820</v>
      </c>
      <c r="E77" s="42">
        <f t="shared" si="1"/>
        <v>8</v>
      </c>
      <c r="F77" s="120">
        <f>0.25164*VLOOKUP('Champ - Echantillonnage'!$H$9,'Tubes optiques'!$H$2:$I$12,2,0)/C77</f>
        <v>1.3568823529411764</v>
      </c>
    </row>
    <row r="78" spans="1:6" ht="12.75" customHeight="1">
      <c r="A78" s="198"/>
      <c r="B78" s="41" t="s">
        <v>252</v>
      </c>
      <c r="C78" s="42">
        <v>128</v>
      </c>
      <c r="D78" s="42">
        <v>1040</v>
      </c>
      <c r="E78" s="42">
        <f t="shared" si="1"/>
        <v>8.1</v>
      </c>
      <c r="F78" s="120">
        <f>0.25164*VLOOKUP('Champ - Echantillonnage'!$H$9,'Tubes optiques'!$H$2:$I$12,2,0)/C78</f>
        <v>1.0812656249999999</v>
      </c>
    </row>
    <row r="79" spans="1:6" ht="12.75" customHeight="1">
      <c r="A79" s="198"/>
      <c r="B79" s="41" t="s">
        <v>253</v>
      </c>
      <c r="C79" s="42">
        <v>152</v>
      </c>
      <c r="D79" s="42">
        <v>1216</v>
      </c>
      <c r="E79" s="42">
        <f t="shared" si="1"/>
        <v>8</v>
      </c>
      <c r="F79" s="120">
        <f>0.25164*VLOOKUP('Champ - Echantillonnage'!$H$9,'Tubes optiques'!$H$2:$I$12,2,0)/C79</f>
        <v>0.9105394736842104</v>
      </c>
    </row>
    <row r="80" spans="1:6" ht="12.75" customHeight="1">
      <c r="A80" s="198"/>
      <c r="B80" s="41" t="s">
        <v>254</v>
      </c>
      <c r="C80" s="42">
        <v>85</v>
      </c>
      <c r="D80" s="42">
        <v>450</v>
      </c>
      <c r="E80" s="42">
        <f t="shared" si="1"/>
        <v>5.3</v>
      </c>
      <c r="F80" s="120">
        <f>0.25164*VLOOKUP('Champ - Echantillonnage'!$H$9,'Tubes optiques'!$H$2:$I$12,2,0)/C80</f>
        <v>1.6282588235294115</v>
      </c>
    </row>
    <row r="81" spans="1:6" ht="12.75" customHeight="1">
      <c r="A81" s="198"/>
      <c r="B81" s="41" t="s">
        <v>255</v>
      </c>
      <c r="C81" s="42">
        <v>106</v>
      </c>
      <c r="D81" s="42">
        <v>530</v>
      </c>
      <c r="E81" s="42">
        <f t="shared" si="1"/>
        <v>5</v>
      </c>
      <c r="F81" s="120">
        <f>0.25164*VLOOKUP('Champ - Echantillonnage'!$H$9,'Tubes optiques'!$H$2:$I$12,2,0)/C81</f>
        <v>1.3056792452830188</v>
      </c>
    </row>
    <row r="82" spans="1:6" ht="12.75" customHeight="1">
      <c r="A82" s="198"/>
      <c r="B82" s="41" t="s">
        <v>256</v>
      </c>
      <c r="C82" s="42">
        <v>102</v>
      </c>
      <c r="D82" s="42">
        <v>816</v>
      </c>
      <c r="E82" s="42">
        <f t="shared" si="1"/>
        <v>8</v>
      </c>
      <c r="F82" s="120">
        <f>0.25164*VLOOKUP('Champ - Echantillonnage'!$H$9,'Tubes optiques'!$H$2:$I$12,2,0)/C82</f>
        <v>1.3568823529411764</v>
      </c>
    </row>
    <row r="83" spans="1:6" ht="12.75" customHeight="1">
      <c r="A83" s="198"/>
      <c r="B83" s="41" t="s">
        <v>257</v>
      </c>
      <c r="C83" s="42">
        <v>120</v>
      </c>
      <c r="D83" s="42">
        <v>900</v>
      </c>
      <c r="E83" s="42">
        <f t="shared" si="1"/>
        <v>7.5</v>
      </c>
      <c r="F83" s="120">
        <f>0.25164*VLOOKUP('Champ - Echantillonnage'!$H$9,'Tubes optiques'!$H$2:$I$12,2,0)/C83</f>
        <v>1.1533499999999999</v>
      </c>
    </row>
    <row r="84" spans="1:6" ht="12.75" customHeight="1">
      <c r="A84" s="198"/>
      <c r="B84" s="41" t="s">
        <v>258</v>
      </c>
      <c r="C84" s="42">
        <v>130</v>
      </c>
      <c r="D84" s="42">
        <v>1000</v>
      </c>
      <c r="E84" s="42">
        <f t="shared" si="1"/>
        <v>7.7</v>
      </c>
      <c r="F84" s="120">
        <f>0.25164*VLOOKUP('Champ - Echantillonnage'!$H$9,'Tubes optiques'!$H$2:$I$12,2,0)/C84</f>
        <v>1.064630769230769</v>
      </c>
    </row>
    <row r="85" spans="1:6" ht="12.75" customHeight="1">
      <c r="A85" s="198"/>
      <c r="B85" s="41" t="s">
        <v>259</v>
      </c>
      <c r="C85" s="42">
        <v>150</v>
      </c>
      <c r="D85" s="42">
        <v>1100</v>
      </c>
      <c r="E85" s="42">
        <f t="shared" si="1"/>
        <v>7.3</v>
      </c>
      <c r="F85" s="120">
        <f>0.25164*VLOOKUP('Champ - Echantillonnage'!$H$9,'Tubes optiques'!$H$2:$I$12,2,0)/C85</f>
        <v>0.92267999999999994</v>
      </c>
    </row>
    <row r="86" spans="1:6" ht="12.75" customHeight="1">
      <c r="A86" s="198"/>
      <c r="B86" s="41" t="s">
        <v>260</v>
      </c>
      <c r="C86" s="42">
        <v>130</v>
      </c>
      <c r="D86" s="42">
        <v>430</v>
      </c>
      <c r="E86" s="42">
        <f t="shared" si="1"/>
        <v>3.3</v>
      </c>
      <c r="F86" s="120">
        <f>0.25164*VLOOKUP('Champ - Echantillonnage'!$H$9,'Tubes optiques'!$H$2:$I$12,2,0)/C86</f>
        <v>1.064630769230769</v>
      </c>
    </row>
    <row r="87" spans="1:6" ht="12.75" customHeight="1">
      <c r="A87" s="198"/>
      <c r="B87" s="41" t="s">
        <v>261</v>
      </c>
      <c r="C87" s="42">
        <v>160</v>
      </c>
      <c r="D87" s="42">
        <v>530</v>
      </c>
      <c r="E87" s="42">
        <f t="shared" si="1"/>
        <v>3.3</v>
      </c>
      <c r="F87" s="120">
        <f>0.25164*VLOOKUP('Champ - Echantillonnage'!$H$9,'Tubes optiques'!$H$2:$I$12,2,0)/C87</f>
        <v>0.86501249999999996</v>
      </c>
    </row>
    <row r="88" spans="1:6" ht="12.75" customHeight="1">
      <c r="A88" s="198"/>
      <c r="B88" s="41" t="s">
        <v>262</v>
      </c>
      <c r="C88" s="42">
        <v>180</v>
      </c>
      <c r="D88" s="42">
        <v>500</v>
      </c>
      <c r="E88" s="42">
        <f t="shared" si="1"/>
        <v>2.8</v>
      </c>
      <c r="F88" s="120">
        <f>0.25164*VLOOKUP('Champ - Echantillonnage'!$H$9,'Tubes optiques'!$H$2:$I$12,2,0)/C88</f>
        <v>0.76889999999999992</v>
      </c>
    </row>
    <row r="89" spans="1:6" ht="12.75" customHeight="1">
      <c r="A89" s="198"/>
      <c r="B89" s="41" t="s">
        <v>263</v>
      </c>
      <c r="C89" s="42">
        <v>200</v>
      </c>
      <c r="D89" s="42">
        <v>800</v>
      </c>
      <c r="E89" s="42">
        <f t="shared" si="1"/>
        <v>4</v>
      </c>
      <c r="F89" s="120">
        <f>0.25164*VLOOKUP('Champ - Echantillonnage'!$H$9,'Tubes optiques'!$H$2:$I$12,2,0)/C89</f>
        <v>0.6920099999999999</v>
      </c>
    </row>
    <row r="90" spans="1:6" ht="12.75" customHeight="1">
      <c r="A90" s="198"/>
      <c r="B90" s="41" t="s">
        <v>264</v>
      </c>
      <c r="C90" s="42">
        <v>210</v>
      </c>
      <c r="D90" s="42">
        <v>628</v>
      </c>
      <c r="E90" s="42">
        <f t="shared" si="1"/>
        <v>3</v>
      </c>
      <c r="F90" s="120">
        <f>0.25164*VLOOKUP('Champ - Echantillonnage'!$H$9,'Tubes optiques'!$H$2:$I$12,2,0)/C90</f>
        <v>0.65905714285714279</v>
      </c>
    </row>
    <row r="91" spans="1:6" ht="12.75" customHeight="1">
      <c r="A91" s="198"/>
      <c r="B91" s="41" t="s">
        <v>265</v>
      </c>
      <c r="C91" s="42">
        <v>250</v>
      </c>
      <c r="D91" s="42">
        <v>854</v>
      </c>
      <c r="E91" s="42">
        <f t="shared" si="1"/>
        <v>3.4</v>
      </c>
      <c r="F91" s="120">
        <f>0.25164*VLOOKUP('Champ - Echantillonnage'!$H$9,'Tubes optiques'!$H$2:$I$12,2,0)/C91</f>
        <v>0.55360799999999999</v>
      </c>
    </row>
    <row r="92" spans="1:6" ht="12.75" customHeight="1">
      <c r="A92" s="198"/>
      <c r="B92" s="41" t="s">
        <v>266</v>
      </c>
      <c r="C92" s="42">
        <v>300</v>
      </c>
      <c r="D92" s="42">
        <v>1130</v>
      </c>
      <c r="E92" s="42">
        <f t="shared" si="1"/>
        <v>3.8</v>
      </c>
      <c r="F92" s="120">
        <f>0.25164*VLOOKUP('Champ - Echantillonnage'!$H$9,'Tubes optiques'!$H$2:$I$12,2,0)/C92</f>
        <v>0.46133999999999997</v>
      </c>
    </row>
    <row r="93" spans="1:6" ht="12.75" customHeight="1">
      <c r="A93" s="198"/>
      <c r="B93" s="41" t="s">
        <v>267</v>
      </c>
      <c r="C93" s="42">
        <v>350</v>
      </c>
      <c r="D93" s="42">
        <v>1248</v>
      </c>
      <c r="E93" s="42">
        <f t="shared" si="1"/>
        <v>3.6</v>
      </c>
      <c r="F93" s="120">
        <f>0.25164*VLOOKUP('Champ - Echantillonnage'!$H$9,'Tubes optiques'!$H$2:$I$12,2,0)/C93</f>
        <v>0.39543428571428568</v>
      </c>
    </row>
    <row r="94" spans="1:6" ht="12.75" customHeight="1">
      <c r="A94" s="198"/>
      <c r="B94" s="41" t="s">
        <v>268</v>
      </c>
      <c r="C94" s="42">
        <v>180</v>
      </c>
      <c r="D94" s="42">
        <v>2160</v>
      </c>
      <c r="E94" s="42">
        <f t="shared" si="1"/>
        <v>12</v>
      </c>
      <c r="F94" s="120">
        <f>0.25164*VLOOKUP('Champ - Echantillonnage'!$H$9,'Tubes optiques'!$H$2:$I$12,2,0)/C94</f>
        <v>0.76889999999999992</v>
      </c>
    </row>
    <row r="95" spans="1:6" ht="12.75" customHeight="1">
      <c r="A95" s="198"/>
      <c r="B95" s="41" t="s">
        <v>269</v>
      </c>
      <c r="C95" s="42">
        <v>210</v>
      </c>
      <c r="D95" s="42">
        <v>2415</v>
      </c>
      <c r="E95" s="42">
        <f t="shared" si="1"/>
        <v>11.5</v>
      </c>
      <c r="F95" s="120">
        <f>0.25164*VLOOKUP('Champ - Echantillonnage'!$H$9,'Tubes optiques'!$H$2:$I$12,2,0)/C95</f>
        <v>0.65905714285714279</v>
      </c>
    </row>
    <row r="96" spans="1:6" ht="12.75" customHeight="1">
      <c r="A96" s="198"/>
      <c r="B96" s="41" t="s">
        <v>270</v>
      </c>
      <c r="C96" s="42">
        <v>250</v>
      </c>
      <c r="D96" s="42">
        <v>3000</v>
      </c>
      <c r="E96" s="42">
        <f t="shared" si="1"/>
        <v>12</v>
      </c>
      <c r="F96" s="120">
        <f>0.25164*VLOOKUP('Champ - Echantillonnage'!$H$9,'Tubes optiques'!$H$2:$I$12,2,0)/C96</f>
        <v>0.55360799999999999</v>
      </c>
    </row>
    <row r="97" spans="1:6" ht="12.75" customHeight="1">
      <c r="A97" s="198"/>
      <c r="B97" s="41" t="s">
        <v>271</v>
      </c>
      <c r="C97" s="42">
        <v>300</v>
      </c>
      <c r="D97" s="42">
        <v>3572</v>
      </c>
      <c r="E97" s="42">
        <f t="shared" si="1"/>
        <v>11.9</v>
      </c>
      <c r="F97" s="120">
        <f>0.25164*VLOOKUP('Champ - Echantillonnage'!$H$9,'Tubes optiques'!$H$2:$I$12,2,0)/C97</f>
        <v>0.46133999999999997</v>
      </c>
    </row>
    <row r="98" spans="1:6" ht="12.75" customHeight="1">
      <c r="A98" s="198"/>
      <c r="B98" s="41" t="s">
        <v>272</v>
      </c>
      <c r="C98" s="42">
        <v>250</v>
      </c>
      <c r="D98" s="42"/>
      <c r="E98" s="42">
        <f t="shared" si="1"/>
        <v>0</v>
      </c>
      <c r="F98" s="120">
        <f>0.25164*VLOOKUP('Champ - Echantillonnage'!$H$9,'Tubes optiques'!$H$2:$I$12,2,0)/C98</f>
        <v>0.55360799999999999</v>
      </c>
    </row>
    <row r="99" spans="1:6" ht="12.75" customHeight="1">
      <c r="A99" s="198"/>
      <c r="B99" s="41" t="s">
        <v>273</v>
      </c>
      <c r="C99" s="42">
        <v>212</v>
      </c>
      <c r="D99" s="42"/>
      <c r="E99" s="42">
        <f t="shared" si="1"/>
        <v>0</v>
      </c>
      <c r="F99" s="120">
        <f>0.25164*VLOOKUP('Champ - Echantillonnage'!$H$9,'Tubes optiques'!$H$2:$I$12,2,0)/C99</f>
        <v>0.65283962264150941</v>
      </c>
    </row>
    <row r="100" spans="1:6" ht="12.75" customHeight="1">
      <c r="A100" s="198" t="s">
        <v>274</v>
      </c>
      <c r="B100" s="35" t="s">
        <v>275</v>
      </c>
      <c r="C100" s="36">
        <v>140</v>
      </c>
      <c r="D100" s="36">
        <v>980</v>
      </c>
      <c r="E100" s="36">
        <f t="shared" si="1"/>
        <v>7</v>
      </c>
      <c r="F100" s="116">
        <f>0.25164*VLOOKUP('Champ - Echantillonnage'!$H$9,'Tubes optiques'!$H$2:$I$12,2,0)/C100</f>
        <v>0.98858571428571418</v>
      </c>
    </row>
    <row r="101" spans="1:6" ht="12.75" customHeight="1">
      <c r="A101" s="198"/>
      <c r="B101" s="35" t="s">
        <v>276</v>
      </c>
      <c r="C101" s="36">
        <v>160</v>
      </c>
      <c r="D101" s="36">
        <v>1280</v>
      </c>
      <c r="E101" s="36">
        <f t="shared" si="1"/>
        <v>8</v>
      </c>
      <c r="F101" s="116">
        <f>0.25164*VLOOKUP('Champ - Echantillonnage'!$H$9,'Tubes optiques'!$H$2:$I$12,2,0)/C101</f>
        <v>0.86501249999999996</v>
      </c>
    </row>
    <row r="102" spans="1:6" ht="12.75" customHeight="1">
      <c r="A102" s="198"/>
      <c r="B102" s="35" t="s">
        <v>277</v>
      </c>
      <c r="C102" s="36">
        <v>160</v>
      </c>
      <c r="D102" s="36">
        <v>1120</v>
      </c>
      <c r="E102" s="36">
        <f t="shared" si="1"/>
        <v>7</v>
      </c>
      <c r="F102" s="116">
        <f>0.25164*VLOOKUP('Champ - Echantillonnage'!$H$9,'Tubes optiques'!$H$2:$I$12,2,0)/C102</f>
        <v>0.86501249999999996</v>
      </c>
    </row>
    <row r="103" spans="1:6" ht="12.75" customHeight="1">
      <c r="A103" s="198"/>
      <c r="B103" s="35" t="s">
        <v>278</v>
      </c>
      <c r="C103" s="36">
        <v>180</v>
      </c>
      <c r="D103" s="36">
        <v>1260</v>
      </c>
      <c r="E103" s="36">
        <f t="shared" si="1"/>
        <v>7</v>
      </c>
      <c r="F103" s="116">
        <f>0.25164*VLOOKUP('Champ - Echantillonnage'!$H$9,'Tubes optiques'!$H$2:$I$12,2,0)/C103</f>
        <v>0.76889999999999992</v>
      </c>
    </row>
    <row r="104" spans="1:6" ht="12.75" customHeight="1">
      <c r="A104" s="198" t="s">
        <v>279</v>
      </c>
      <c r="B104" s="43" t="s">
        <v>394</v>
      </c>
      <c r="C104" s="44">
        <v>60</v>
      </c>
      <c r="D104" s="44">
        <v>360</v>
      </c>
      <c r="E104" s="44">
        <f t="shared" si="1"/>
        <v>6</v>
      </c>
      <c r="F104" s="118">
        <f>0.25164*VLOOKUP('Champ - Echantillonnage'!$H$9,'Tubes optiques'!$H$2:$I$12,2,0)/C104</f>
        <v>2.3066999999999998</v>
      </c>
    </row>
    <row r="105" spans="1:6" ht="12.75" customHeight="1">
      <c r="A105" s="198"/>
      <c r="B105" s="43" t="s">
        <v>392</v>
      </c>
      <c r="C105" s="44">
        <v>76</v>
      </c>
      <c r="D105" s="44">
        <v>480</v>
      </c>
      <c r="E105" s="44">
        <f>ROUND(D105/C105,1)</f>
        <v>6.3</v>
      </c>
      <c r="F105" s="118">
        <f>0.25164*VLOOKUP('Champ - Echantillonnage'!$H$9,'Tubes optiques'!$H$2:$I$12,2,0)/C105</f>
        <v>1.8210789473684208</v>
      </c>
    </row>
    <row r="106" spans="1:6" ht="12.75" customHeight="1">
      <c r="A106" s="198"/>
      <c r="B106" s="43" t="s">
        <v>393</v>
      </c>
      <c r="C106" s="44">
        <v>85</v>
      </c>
      <c r="D106" s="44">
        <v>600</v>
      </c>
      <c r="E106" s="44">
        <f>ROUND(D106/C106,1)</f>
        <v>7.1</v>
      </c>
      <c r="F106" s="118">
        <f>0.25164*VLOOKUP('Champ - Echantillonnage'!$H$9,'Tubes optiques'!$H$2:$I$12,2,0)/C106</f>
        <v>1.6282588235294115</v>
      </c>
    </row>
    <row r="107" spans="1:6" ht="12.75" customHeight="1">
      <c r="A107" s="198"/>
      <c r="B107" s="43" t="s">
        <v>400</v>
      </c>
      <c r="C107" s="44">
        <v>102</v>
      </c>
      <c r="D107" s="44">
        <v>880</v>
      </c>
      <c r="E107" s="44">
        <f>ROUND(D107/C107,1)</f>
        <v>8.6</v>
      </c>
      <c r="F107" s="118">
        <f>0.25164*VLOOKUP('Champ - Echantillonnage'!$H$9,'Tubes optiques'!$H$2:$I$12,2,0)/C107</f>
        <v>1.3568823529411764</v>
      </c>
    </row>
    <row r="108" spans="1:6" ht="12.75" customHeight="1">
      <c r="A108" s="198"/>
      <c r="B108" s="43" t="s">
        <v>399</v>
      </c>
      <c r="C108" s="44">
        <v>101</v>
      </c>
      <c r="D108" s="44">
        <v>540</v>
      </c>
      <c r="E108" s="44">
        <f>ROUND(D108/C108,1)</f>
        <v>5.3</v>
      </c>
      <c r="F108" s="118">
        <f>0.25164*VLOOKUP('Champ - Echantillonnage'!$H$9,'Tubes optiques'!$H$2:$I$12,2,0)/C108</f>
        <v>1.3703168316831682</v>
      </c>
    </row>
    <row r="109" spans="1:6" ht="12.75" customHeight="1">
      <c r="A109" s="198"/>
      <c r="B109" s="43" t="s">
        <v>401</v>
      </c>
      <c r="C109" s="44">
        <v>127</v>
      </c>
      <c r="D109" s="44">
        <v>660</v>
      </c>
      <c r="E109" s="44">
        <f t="shared" si="1"/>
        <v>5.2</v>
      </c>
      <c r="F109" s="118">
        <f>0.25164*VLOOKUP('Champ - Echantillonnage'!$H$9,'Tubes optiques'!$H$2:$I$12,2,0)/C109</f>
        <v>1.0897795275590549</v>
      </c>
    </row>
    <row r="110" spans="1:6" ht="12.75" customHeight="1">
      <c r="A110" s="202" t="s">
        <v>280</v>
      </c>
      <c r="B110" s="45" t="s">
        <v>281</v>
      </c>
      <c r="C110" s="46">
        <v>80</v>
      </c>
      <c r="D110" s="46">
        <v>504</v>
      </c>
      <c r="E110" s="46">
        <f t="shared" si="1"/>
        <v>6.3</v>
      </c>
      <c r="F110" s="114">
        <f>0.25164*VLOOKUP('Champ - Echantillonnage'!$H$9,'Tubes optiques'!$H$2:$I$12,2,0)/C110</f>
        <v>1.7300249999999999</v>
      </c>
    </row>
    <row r="111" spans="1:6" ht="12.75" customHeight="1">
      <c r="A111" s="202"/>
      <c r="B111" s="45" t="s">
        <v>282</v>
      </c>
      <c r="C111" s="46">
        <v>92</v>
      </c>
      <c r="D111" s="46">
        <v>506</v>
      </c>
      <c r="E111" s="46">
        <f t="shared" si="1"/>
        <v>5.5</v>
      </c>
      <c r="F111" s="114">
        <f>0.25164*VLOOKUP('Champ - Echantillonnage'!$H$9,'Tubes optiques'!$H$2:$I$12,2,0)/C111</f>
        <v>1.5043695652173912</v>
      </c>
    </row>
    <row r="112" spans="1:6" ht="12.75" customHeight="1">
      <c r="A112" s="202"/>
      <c r="B112" s="45" t="s">
        <v>283</v>
      </c>
      <c r="C112" s="46">
        <v>130</v>
      </c>
      <c r="D112" s="46">
        <v>910</v>
      </c>
      <c r="E112" s="46">
        <f t="shared" ref="E112:E134" si="4">ROUND(D112/C112,1)</f>
        <v>7</v>
      </c>
      <c r="F112" s="114">
        <f>0.25164*VLOOKUP('Champ - Echantillonnage'!$H$9,'Tubes optiques'!$H$2:$I$12,2,0)/C112</f>
        <v>1.064630769230769</v>
      </c>
    </row>
    <row r="113" spans="1:6" ht="12.75" customHeight="1">
      <c r="A113" s="198" t="s">
        <v>284</v>
      </c>
      <c r="B113" s="35" t="s">
        <v>285</v>
      </c>
      <c r="C113" s="36">
        <v>80</v>
      </c>
      <c r="D113" s="36">
        <v>600</v>
      </c>
      <c r="E113" s="36">
        <f t="shared" si="4"/>
        <v>7.5</v>
      </c>
      <c r="F113" s="116">
        <f>0.25164*VLOOKUP('Champ - Echantillonnage'!$H$9,'Tubes optiques'!$H$2:$I$12,2,0)/C113</f>
        <v>1.7300249999999999</v>
      </c>
    </row>
    <row r="114" spans="1:6" ht="12.75" customHeight="1">
      <c r="A114" s="198"/>
      <c r="B114" s="35" t="s">
        <v>286</v>
      </c>
      <c r="C114" s="36">
        <v>81</v>
      </c>
      <c r="D114" s="36">
        <v>625</v>
      </c>
      <c r="E114" s="36">
        <f t="shared" si="4"/>
        <v>7.7</v>
      </c>
      <c r="F114" s="116">
        <f>0.25164*VLOOKUP('Champ - Echantillonnage'!$H$9,'Tubes optiques'!$H$2:$I$12,2,0)/C114</f>
        <v>1.7086666666666666</v>
      </c>
    </row>
    <row r="115" spans="1:6" ht="12.75" customHeight="1">
      <c r="A115" s="198"/>
      <c r="B115" s="35" t="s">
        <v>287</v>
      </c>
      <c r="C115" s="36">
        <v>100</v>
      </c>
      <c r="D115" s="36">
        <v>880</v>
      </c>
      <c r="E115" s="36">
        <f t="shared" si="4"/>
        <v>8.8000000000000007</v>
      </c>
      <c r="F115" s="116">
        <f>0.25164*VLOOKUP('Champ - Echantillonnage'!$H$9,'Tubes optiques'!$H$2:$I$12,2,0)/C115</f>
        <v>1.3840199999999998</v>
      </c>
    </row>
    <row r="116" spans="1:6" ht="12.75" customHeight="1">
      <c r="A116" s="198"/>
      <c r="B116" s="35" t="s">
        <v>288</v>
      </c>
      <c r="C116" s="36">
        <v>103</v>
      </c>
      <c r="D116" s="36">
        <v>795</v>
      </c>
      <c r="E116" s="36">
        <f t="shared" si="4"/>
        <v>7.7</v>
      </c>
      <c r="F116" s="116">
        <f>0.25164*VLOOKUP('Champ - Echantillonnage'!$H$9,'Tubes optiques'!$H$2:$I$12,2,0)/C116</f>
        <v>1.3437087378640775</v>
      </c>
    </row>
    <row r="117" spans="1:6" ht="12.75" customHeight="1">
      <c r="A117" s="198"/>
      <c r="B117" s="35" t="s">
        <v>289</v>
      </c>
      <c r="C117" s="36">
        <v>115</v>
      </c>
      <c r="D117" s="36">
        <v>890</v>
      </c>
      <c r="E117" s="36">
        <f t="shared" si="4"/>
        <v>7.7</v>
      </c>
      <c r="F117" s="116">
        <f>0.25164*VLOOKUP('Champ - Echantillonnage'!$H$9,'Tubes optiques'!$H$2:$I$12,2,0)/C117</f>
        <v>1.2034956521739129</v>
      </c>
    </row>
    <row r="118" spans="1:6" ht="12.75" customHeight="1">
      <c r="A118" s="198"/>
      <c r="B118" s="35" t="s">
        <v>290</v>
      </c>
      <c r="C118" s="36">
        <v>140</v>
      </c>
      <c r="D118" s="36">
        <v>800</v>
      </c>
      <c r="E118" s="36">
        <f t="shared" si="4"/>
        <v>5.7</v>
      </c>
      <c r="F118" s="116">
        <f>0.25164*VLOOKUP('Champ - Echantillonnage'!$H$9,'Tubes optiques'!$H$2:$I$12,2,0)/C118</f>
        <v>0.98858571428571418</v>
      </c>
    </row>
    <row r="119" spans="1:6" ht="12.75" customHeight="1">
      <c r="A119" s="198"/>
      <c r="B119" s="35" t="s">
        <v>291</v>
      </c>
      <c r="C119" s="36">
        <v>130</v>
      </c>
      <c r="D119" s="36">
        <v>650</v>
      </c>
      <c r="E119" s="36">
        <f t="shared" si="4"/>
        <v>5</v>
      </c>
      <c r="F119" s="116">
        <f>0.25164*VLOOKUP('Champ - Echantillonnage'!$H$9,'Tubes optiques'!$H$2:$I$12,2,0)/C119</f>
        <v>1.064630769230769</v>
      </c>
    </row>
    <row r="120" spans="1:6" ht="12.75" customHeight="1">
      <c r="A120" s="198"/>
      <c r="B120" s="35" t="s">
        <v>292</v>
      </c>
      <c r="C120" s="36">
        <v>200</v>
      </c>
      <c r="D120" s="36">
        <v>800</v>
      </c>
      <c r="E120" s="36">
        <f t="shared" si="4"/>
        <v>4</v>
      </c>
      <c r="F120" s="116">
        <f>0.25164*VLOOKUP('Champ - Echantillonnage'!$H$9,'Tubes optiques'!$H$2:$I$12,2,0)/C120</f>
        <v>0.6920099999999999</v>
      </c>
    </row>
    <row r="121" spans="1:6" ht="12.75" customHeight="1">
      <c r="A121" s="198"/>
      <c r="B121" s="35" t="s">
        <v>293</v>
      </c>
      <c r="C121" s="36">
        <v>95</v>
      </c>
      <c r="D121" s="36">
        <v>1050</v>
      </c>
      <c r="E121" s="36">
        <f t="shared" si="4"/>
        <v>11.1</v>
      </c>
      <c r="F121" s="116">
        <f>0.25164*VLOOKUP('Champ - Echantillonnage'!$H$9,'Tubes optiques'!$H$2:$I$12,2,0)/C121</f>
        <v>1.4568631578947366</v>
      </c>
    </row>
    <row r="122" spans="1:6" ht="12.75" customHeight="1">
      <c r="A122" s="198"/>
      <c r="B122" s="35" t="s">
        <v>294</v>
      </c>
      <c r="C122" s="36">
        <v>110</v>
      </c>
      <c r="D122" s="36">
        <v>1035</v>
      </c>
      <c r="E122" s="36">
        <f t="shared" si="4"/>
        <v>9.4</v>
      </c>
      <c r="F122" s="116">
        <f>0.25164*VLOOKUP('Champ - Echantillonnage'!$H$9,'Tubes optiques'!$H$2:$I$12,2,0)/C122</f>
        <v>1.2582</v>
      </c>
    </row>
    <row r="123" spans="1:6" ht="12.75" customHeight="1">
      <c r="A123" s="198"/>
      <c r="B123" s="35" t="s">
        <v>295</v>
      </c>
      <c r="C123" s="36">
        <v>200</v>
      </c>
      <c r="D123" s="36">
        <v>1950</v>
      </c>
      <c r="E123" s="36">
        <f t="shared" si="4"/>
        <v>9.8000000000000007</v>
      </c>
      <c r="F123" s="116">
        <f>0.25164*VLOOKUP('Champ - Echantillonnage'!$H$9,'Tubes optiques'!$H$2:$I$12,2,0)/C123</f>
        <v>0.6920099999999999</v>
      </c>
    </row>
    <row r="124" spans="1:6" ht="12.75" customHeight="1">
      <c r="A124" s="198"/>
      <c r="B124" s="35" t="s">
        <v>296</v>
      </c>
      <c r="C124" s="36">
        <v>200</v>
      </c>
      <c r="D124" s="36">
        <v>1800</v>
      </c>
      <c r="E124" s="36">
        <f t="shared" si="4"/>
        <v>9</v>
      </c>
      <c r="F124" s="116">
        <f>0.25164*VLOOKUP('Champ - Echantillonnage'!$H$9,'Tubes optiques'!$H$2:$I$12,2,0)/C124</f>
        <v>0.6920099999999999</v>
      </c>
    </row>
    <row r="125" spans="1:6" ht="12.75" customHeight="1">
      <c r="A125" s="198"/>
      <c r="B125" s="35" t="s">
        <v>297</v>
      </c>
      <c r="C125" s="36">
        <v>260</v>
      </c>
      <c r="D125" s="36">
        <v>3000</v>
      </c>
      <c r="E125" s="36">
        <f t="shared" si="4"/>
        <v>11.5</v>
      </c>
      <c r="F125" s="116">
        <f>0.25164*VLOOKUP('Champ - Echantillonnage'!$H$9,'Tubes optiques'!$H$2:$I$12,2,0)/C125</f>
        <v>0.53231538461538452</v>
      </c>
    </row>
    <row r="126" spans="1:6" ht="12.75" customHeight="1">
      <c r="A126" s="198"/>
      <c r="B126" s="35" t="s">
        <v>298</v>
      </c>
      <c r="C126" s="36">
        <v>330</v>
      </c>
      <c r="D126" s="36">
        <v>4320</v>
      </c>
      <c r="E126" s="36">
        <f t="shared" si="4"/>
        <v>13.1</v>
      </c>
      <c r="F126" s="116">
        <f>0.25164*VLOOKUP('Champ - Echantillonnage'!$H$9,'Tubes optiques'!$H$2:$I$12,2,0)/C126</f>
        <v>0.41939999999999994</v>
      </c>
    </row>
    <row r="127" spans="1:6" ht="12.75" customHeight="1">
      <c r="A127" s="200" t="s">
        <v>299</v>
      </c>
      <c r="B127" s="88" t="s">
        <v>402</v>
      </c>
      <c r="C127" s="40">
        <v>72</v>
      </c>
      <c r="D127" s="40">
        <v>432</v>
      </c>
      <c r="E127" s="40">
        <f t="shared" si="4"/>
        <v>6</v>
      </c>
      <c r="F127" s="117">
        <f>0.25164*VLOOKUP('Champ - Echantillonnage'!$H$9,'Tubes optiques'!$H$2:$I$12,2,0)/C127</f>
        <v>1.9222499999999998</v>
      </c>
    </row>
    <row r="128" spans="1:6" ht="12.75" customHeight="1">
      <c r="A128" s="200"/>
      <c r="B128" s="88" t="s">
        <v>405</v>
      </c>
      <c r="C128" s="40">
        <v>80</v>
      </c>
      <c r="D128" s="40">
        <v>545</v>
      </c>
      <c r="E128" s="40">
        <f t="shared" si="4"/>
        <v>6.8</v>
      </c>
      <c r="F128" s="117">
        <f>0.25164*VLOOKUP('Champ - Echantillonnage'!$H$9,'Tubes optiques'!$H$2:$I$12,2,0)/C128</f>
        <v>1.7300249999999999</v>
      </c>
    </row>
    <row r="129" spans="1:6" ht="12.75" customHeight="1">
      <c r="A129" s="200"/>
      <c r="B129" s="88" t="s">
        <v>409</v>
      </c>
      <c r="C129" s="40">
        <v>80</v>
      </c>
      <c r="D129" s="40">
        <v>480</v>
      </c>
      <c r="E129" s="40">
        <f t="shared" si="4"/>
        <v>6</v>
      </c>
      <c r="F129" s="117">
        <f>0.25164*VLOOKUP('Champ - Echantillonnage'!$H$9,'Tubes optiques'!$H$2:$I$12,2,0)/C129</f>
        <v>1.7300249999999999</v>
      </c>
    </row>
    <row r="130" spans="1:6" ht="12.75" customHeight="1">
      <c r="A130" s="200"/>
      <c r="B130" s="88" t="s">
        <v>403</v>
      </c>
      <c r="C130" s="40">
        <v>90</v>
      </c>
      <c r="D130" s="40">
        <v>558</v>
      </c>
      <c r="E130" s="40">
        <f t="shared" si="4"/>
        <v>6.2</v>
      </c>
      <c r="F130" s="117">
        <f>0.25164*VLOOKUP('Champ - Echantillonnage'!$H$9,'Tubes optiques'!$H$2:$I$12,2,0)/C130</f>
        <v>1.5377999999999998</v>
      </c>
    </row>
    <row r="131" spans="1:6" ht="12.75" customHeight="1">
      <c r="A131" s="200"/>
      <c r="B131" s="88" t="s">
        <v>404</v>
      </c>
      <c r="C131" s="40">
        <v>98</v>
      </c>
      <c r="D131" s="40">
        <v>618</v>
      </c>
      <c r="E131" s="40">
        <f t="shared" si="4"/>
        <v>6.3</v>
      </c>
      <c r="F131" s="117">
        <f>0.25164*VLOOKUP('Champ - Echantillonnage'!$H$9,'Tubes optiques'!$H$2:$I$12,2,0)/C131</f>
        <v>1.4122653061224488</v>
      </c>
    </row>
    <row r="132" spans="1:6" ht="12.75" customHeight="1">
      <c r="A132" s="200"/>
      <c r="B132" s="88" t="s">
        <v>406</v>
      </c>
      <c r="C132" s="40">
        <v>110</v>
      </c>
      <c r="D132" s="40">
        <v>770</v>
      </c>
      <c r="E132" s="40">
        <f t="shared" si="4"/>
        <v>7</v>
      </c>
      <c r="F132" s="117">
        <f>0.25164*VLOOKUP('Champ - Echantillonnage'!$H$9,'Tubes optiques'!$H$2:$I$12,2,0)/C132</f>
        <v>1.2582</v>
      </c>
    </row>
    <row r="133" spans="1:6" ht="12.75" customHeight="1">
      <c r="A133" s="200"/>
      <c r="B133" s="88" t="s">
        <v>407</v>
      </c>
      <c r="C133" s="40">
        <v>120</v>
      </c>
      <c r="D133" s="40">
        <v>900</v>
      </c>
      <c r="E133" s="40">
        <f t="shared" si="4"/>
        <v>7.5</v>
      </c>
      <c r="F133" s="117">
        <f>0.25164*VLOOKUP('Champ - Echantillonnage'!$H$9,'Tubes optiques'!$H$2:$I$12,2,0)/C133</f>
        <v>1.1533499999999999</v>
      </c>
    </row>
    <row r="134" spans="1:6" ht="12.75" customHeight="1">
      <c r="A134" s="200"/>
      <c r="B134" s="88" t="s">
        <v>408</v>
      </c>
      <c r="C134" s="40">
        <v>132</v>
      </c>
      <c r="D134" s="40">
        <v>924</v>
      </c>
      <c r="E134" s="40">
        <f t="shared" si="4"/>
        <v>7</v>
      </c>
      <c r="F134" s="117">
        <f>0.25164*VLOOKUP('Champ - Echantillonnage'!$H$9,'Tubes optiques'!$H$2:$I$12,2,0)/C134</f>
        <v>1.0485</v>
      </c>
    </row>
    <row r="135" spans="1:6" ht="12.75" customHeight="1">
      <c r="A135" s="199" t="s">
        <v>331</v>
      </c>
      <c r="B135" s="89" t="s">
        <v>301</v>
      </c>
      <c r="C135" s="44">
        <v>75</v>
      </c>
      <c r="D135" s="44">
        <v>300</v>
      </c>
      <c r="E135" s="44">
        <v>4</v>
      </c>
      <c r="F135" s="118">
        <f>0.25164*VLOOKUP('Champ - Echantillonnage'!$H$9,'Tubes optiques'!$H$2:$I$12,2,0)/C135</f>
        <v>1.8453599999999999</v>
      </c>
    </row>
    <row r="136" spans="1:6" ht="12.75" customHeight="1">
      <c r="A136" s="199"/>
      <c r="B136" s="89" t="s">
        <v>389</v>
      </c>
      <c r="C136" s="90">
        <f>D136/E136</f>
        <v>71.428571428571431</v>
      </c>
      <c r="D136" s="44">
        <v>200</v>
      </c>
      <c r="E136" s="44">
        <v>2.8</v>
      </c>
      <c r="F136" s="118">
        <f>0.25164*VLOOKUP('Champ - Echantillonnage'!$H$9,'Tubes optiques'!$H$2:$I$12,2,0)/C136</f>
        <v>1.9376279999999997</v>
      </c>
    </row>
    <row r="137" spans="1:6" ht="12.75" customHeight="1">
      <c r="A137" s="199"/>
      <c r="B137" s="89" t="s">
        <v>390</v>
      </c>
      <c r="C137" s="90">
        <f>D137/E137</f>
        <v>35.714285714285715</v>
      </c>
      <c r="D137" s="44">
        <v>100</v>
      </c>
      <c r="E137" s="44">
        <v>2.8</v>
      </c>
      <c r="F137" s="118">
        <f>0.25164*VLOOKUP('Champ - Echantillonnage'!$H$9,'Tubes optiques'!$H$2:$I$12,2,0)/C137</f>
        <v>3.8752559999999994</v>
      </c>
    </row>
    <row r="138" spans="1:6" ht="12.75" customHeight="1">
      <c r="A138" s="199"/>
      <c r="B138" s="43" t="s">
        <v>387</v>
      </c>
      <c r="C138" s="90">
        <f>D138/E138</f>
        <v>8.5714285714285712</v>
      </c>
      <c r="D138" s="44">
        <v>24</v>
      </c>
      <c r="E138" s="44">
        <v>2.8</v>
      </c>
      <c r="F138" s="118">
        <f>0.25164*VLOOKUP('Champ - Echantillonnage'!$H$9,'Tubes optiques'!$H$2:$I$12,2,0)/C138</f>
        <v>16.146899999999999</v>
      </c>
    </row>
    <row r="139" spans="1:6" ht="12.75" customHeight="1">
      <c r="A139" s="199"/>
      <c r="B139" s="124" t="s">
        <v>388</v>
      </c>
      <c r="C139" s="125">
        <f>D139/E139</f>
        <v>25</v>
      </c>
      <c r="D139" s="126">
        <v>70</v>
      </c>
      <c r="E139" s="126">
        <v>2.8</v>
      </c>
      <c r="F139" s="127">
        <f>0.25164*VLOOKUP('Champ - Echantillonnage'!$H$9,'Tubes optiques'!$H$2:$I$12,2,0)/C139</f>
        <v>5.5360799999999992</v>
      </c>
    </row>
    <row r="140" spans="1:6" ht="12.75" customHeight="1">
      <c r="A140" s="128" t="s">
        <v>466</v>
      </c>
      <c r="B140" s="128" t="s">
        <v>465</v>
      </c>
      <c r="C140" s="129">
        <f>'Champ - Echantillonnage'!C25</f>
        <v>200</v>
      </c>
      <c r="D140" s="130">
        <f>'Champ - Echantillonnage'!D25</f>
        <v>2000</v>
      </c>
      <c r="E140" s="128">
        <f>ROUND(D140/C140,1)</f>
        <v>10</v>
      </c>
      <c r="F140" s="131">
        <f>0.25164*VLOOKUP('Champ - Echantillonnage'!$H$9,'Tubes optiques'!$H$2:$I$12,2,0)/C140</f>
        <v>0.6920099999999999</v>
      </c>
    </row>
    <row r="141" spans="1:6" ht="12.75" customHeight="1"/>
    <row r="142" spans="1:6" ht="12.75" customHeight="1">
      <c r="A142" s="3" t="s">
        <v>329</v>
      </c>
    </row>
    <row r="143" spans="1:6" ht="12.75" customHeight="1">
      <c r="A143" s="3" t="s">
        <v>212</v>
      </c>
    </row>
    <row r="144" spans="1:6" ht="12.75" customHeight="1">
      <c r="A144" s="3" t="s">
        <v>218</v>
      </c>
    </row>
    <row r="145" spans="1:2" ht="12.75" customHeight="1">
      <c r="A145" s="3" t="s">
        <v>425</v>
      </c>
    </row>
    <row r="146" spans="1:2" ht="12.75" customHeight="1">
      <c r="A146" s="3" t="s">
        <v>331</v>
      </c>
    </row>
    <row r="147" spans="1:2" ht="12.75" customHeight="1">
      <c r="A147" s="3" t="s">
        <v>228</v>
      </c>
      <c r="B147" s="25"/>
    </row>
    <row r="148" spans="1:2" ht="12.75" customHeight="1">
      <c r="A148" s="3" t="s">
        <v>440</v>
      </c>
      <c r="B148" s="25"/>
    </row>
    <row r="149" spans="1:2" ht="12.75" customHeight="1">
      <c r="A149" s="3" t="s">
        <v>229</v>
      </c>
    </row>
    <row r="150" spans="1:2" ht="12.75" customHeight="1">
      <c r="A150" s="3" t="s">
        <v>424</v>
      </c>
    </row>
    <row r="151" spans="1:2" ht="12.75" customHeight="1">
      <c r="A151" s="3" t="s">
        <v>238</v>
      </c>
      <c r="B151" s="25"/>
    </row>
    <row r="152" spans="1:2" ht="12.75" customHeight="1">
      <c r="A152" s="3" t="s">
        <v>516</v>
      </c>
      <c r="B152" s="25"/>
    </row>
    <row r="153" spans="1:2" ht="12.75" customHeight="1">
      <c r="A153" s="3" t="s">
        <v>248</v>
      </c>
    </row>
    <row r="154" spans="1:2" ht="12.75" customHeight="1">
      <c r="A154" s="3" t="s">
        <v>274</v>
      </c>
    </row>
    <row r="155" spans="1:2" ht="12.75" customHeight="1">
      <c r="A155" s="3" t="s">
        <v>279</v>
      </c>
    </row>
    <row r="156" spans="1:2" ht="12.75" customHeight="1">
      <c r="A156" s="3" t="s">
        <v>280</v>
      </c>
    </row>
    <row r="157" spans="1:2" ht="12.75" customHeight="1">
      <c r="A157" s="3" t="s">
        <v>284</v>
      </c>
    </row>
    <row r="158" spans="1:2" ht="12.75" customHeight="1">
      <c r="A158" s="3" t="s">
        <v>391</v>
      </c>
    </row>
    <row r="159" spans="1:2" ht="12.75" customHeight="1">
      <c r="A159" s="3" t="s">
        <v>467</v>
      </c>
    </row>
    <row r="160" spans="1:2" ht="12.75" customHeight="1"/>
    <row r="161" ht="12.75" customHeight="1"/>
  </sheetData>
  <mergeCells count="16">
    <mergeCell ref="A2:A6"/>
    <mergeCell ref="A7:A15"/>
    <mergeCell ref="A26:A30"/>
    <mergeCell ref="A35:A42"/>
    <mergeCell ref="A135:A139"/>
    <mergeCell ref="A127:A134"/>
    <mergeCell ref="A16:A25"/>
    <mergeCell ref="A43:A58"/>
    <mergeCell ref="A31:A34"/>
    <mergeCell ref="A110:A112"/>
    <mergeCell ref="A113:A126"/>
    <mergeCell ref="A59:A67"/>
    <mergeCell ref="A75:A99"/>
    <mergeCell ref="A100:A103"/>
    <mergeCell ref="A104:A109"/>
    <mergeCell ref="A68:A74"/>
  </mergeCells>
  <phoneticPr fontId="2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48"/>
  <sheetViews>
    <sheetView workbookViewId="0">
      <selection activeCell="B136" sqref="B136"/>
    </sheetView>
  </sheetViews>
  <sheetFormatPr baseColWidth="10" defaultRowHeight="12.75"/>
  <cols>
    <col min="1" max="1" width="19.85546875" style="1" customWidth="1"/>
    <col min="2" max="2" width="33.5703125" style="1" bestFit="1" customWidth="1"/>
    <col min="3" max="3" width="18.140625" style="2" bestFit="1" customWidth="1"/>
    <col min="4" max="4" width="7.85546875" style="1" customWidth="1"/>
    <col min="5" max="6" width="15.7109375" style="1" customWidth="1"/>
    <col min="7" max="8" width="17.7109375" style="4" customWidth="1"/>
    <col min="9" max="9" width="17.140625" style="1" customWidth="1"/>
    <col min="10" max="10" width="13.85546875" style="1" customWidth="1"/>
    <col min="11" max="11" width="16.85546875" style="1" customWidth="1"/>
    <col min="12" max="12" width="16.28515625" style="1" bestFit="1" customWidth="1"/>
    <col min="13" max="13" width="20.28515625" style="1" customWidth="1"/>
    <col min="14" max="14" width="17.42578125" style="1" customWidth="1"/>
    <col min="15" max="15" width="26.28515625" style="1" customWidth="1"/>
    <col min="16" max="16" width="35.5703125" style="1" customWidth="1"/>
    <col min="17" max="17" width="21.140625" style="4" customWidth="1"/>
    <col min="18" max="18" width="18" style="1" customWidth="1"/>
    <col min="19" max="16384" width="11.42578125" style="1"/>
  </cols>
  <sheetData>
    <row r="1" spans="1:18" ht="13.5" customHeight="1">
      <c r="A1" s="26" t="s">
        <v>0</v>
      </c>
      <c r="B1" s="26" t="s">
        <v>1</v>
      </c>
      <c r="C1" s="27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332</v>
      </c>
      <c r="J1" s="26" t="s">
        <v>317</v>
      </c>
      <c r="K1" s="26" t="s">
        <v>8</v>
      </c>
      <c r="L1" s="26" t="s">
        <v>333</v>
      </c>
      <c r="M1" s="26" t="s">
        <v>9</v>
      </c>
      <c r="N1" s="26" t="s">
        <v>10</v>
      </c>
      <c r="O1" s="26" t="s">
        <v>11</v>
      </c>
      <c r="P1" s="26" t="s">
        <v>12</v>
      </c>
      <c r="Q1" s="26" t="s">
        <v>13</v>
      </c>
      <c r="R1" s="26" t="s">
        <v>14</v>
      </c>
    </row>
    <row r="2" spans="1:18">
      <c r="A2" s="203" t="s">
        <v>15</v>
      </c>
      <c r="B2" s="47" t="s">
        <v>16</v>
      </c>
      <c r="C2" s="48" t="s">
        <v>17</v>
      </c>
      <c r="D2" s="47" t="s">
        <v>18</v>
      </c>
      <c r="E2" s="52">
        <f t="shared" ref="E2:E11" si="0">G2*I2*0.001</f>
        <v>8.9784000000000006</v>
      </c>
      <c r="F2" s="52">
        <f t="shared" ref="F2:F11" si="1">H2*I2*0.001</f>
        <v>6.7080000000000002</v>
      </c>
      <c r="G2" s="50">
        <v>1392</v>
      </c>
      <c r="H2" s="50">
        <v>1040</v>
      </c>
      <c r="I2" s="47">
        <v>6.45</v>
      </c>
      <c r="J2" s="49">
        <f t="shared" ref="J2:J11" si="2">0.000001*G2*H2</f>
        <v>1.4476800000000001</v>
      </c>
      <c r="K2" s="47"/>
      <c r="L2" s="47"/>
      <c r="M2" s="47">
        <v>16</v>
      </c>
      <c r="N2" s="47" t="s">
        <v>19</v>
      </c>
      <c r="O2" s="47"/>
      <c r="P2" s="47"/>
      <c r="Q2" s="50"/>
      <c r="R2" s="47" t="s">
        <v>20</v>
      </c>
    </row>
    <row r="3" spans="1:18">
      <c r="A3" s="203"/>
      <c r="B3" s="47" t="s">
        <v>21</v>
      </c>
      <c r="C3" s="48" t="s">
        <v>22</v>
      </c>
      <c r="D3" s="47" t="s">
        <v>18</v>
      </c>
      <c r="E3" s="52">
        <f t="shared" si="0"/>
        <v>7.128000000000001</v>
      </c>
      <c r="F3" s="52">
        <f t="shared" si="1"/>
        <v>5.3680000000000003</v>
      </c>
      <c r="G3" s="50">
        <v>1620</v>
      </c>
      <c r="H3" s="50">
        <v>1220</v>
      </c>
      <c r="I3" s="47">
        <v>4.4000000000000004</v>
      </c>
      <c r="J3" s="49">
        <f t="shared" si="2"/>
        <v>1.9763999999999999</v>
      </c>
      <c r="K3" s="47"/>
      <c r="L3" s="47"/>
      <c r="M3" s="47">
        <v>16</v>
      </c>
      <c r="N3" s="47" t="s">
        <v>23</v>
      </c>
      <c r="O3" s="47"/>
      <c r="P3" s="47"/>
      <c r="Q3" s="50"/>
      <c r="R3" s="47" t="s">
        <v>20</v>
      </c>
    </row>
    <row r="4" spans="1:18">
      <c r="A4" s="203"/>
      <c r="B4" s="47" t="s">
        <v>24</v>
      </c>
      <c r="C4" s="48" t="s">
        <v>25</v>
      </c>
      <c r="D4" s="47" t="s">
        <v>18</v>
      </c>
      <c r="E4" s="52">
        <f t="shared" si="0"/>
        <v>17.960400000000003</v>
      </c>
      <c r="F4" s="52">
        <f t="shared" si="1"/>
        <v>13.521600000000001</v>
      </c>
      <c r="G4" s="50">
        <v>3326</v>
      </c>
      <c r="H4" s="50">
        <v>2504</v>
      </c>
      <c r="I4" s="47">
        <v>5.4</v>
      </c>
      <c r="J4" s="49">
        <f t="shared" si="2"/>
        <v>8.3283039999999993</v>
      </c>
      <c r="K4" s="47"/>
      <c r="L4" s="47"/>
      <c r="M4" s="47">
        <v>16</v>
      </c>
      <c r="N4" s="47" t="s">
        <v>26</v>
      </c>
      <c r="O4" s="47"/>
      <c r="P4" s="47"/>
      <c r="Q4" s="50"/>
      <c r="R4" s="47" t="s">
        <v>27</v>
      </c>
    </row>
    <row r="5" spans="1:18">
      <c r="A5" s="203"/>
      <c r="B5" s="47">
        <v>4000</v>
      </c>
      <c r="C5" s="48" t="s">
        <v>28</v>
      </c>
      <c r="D5" s="47" t="s">
        <v>18</v>
      </c>
      <c r="E5" s="52">
        <f t="shared" si="0"/>
        <v>15.155200000000001</v>
      </c>
      <c r="F5" s="52">
        <f t="shared" si="1"/>
        <v>15.155200000000001</v>
      </c>
      <c r="G5" s="50">
        <v>2048</v>
      </c>
      <c r="H5" s="50">
        <v>2048</v>
      </c>
      <c r="I5" s="47">
        <v>7.4</v>
      </c>
      <c r="J5" s="49">
        <f t="shared" si="2"/>
        <v>4.1943039999999998</v>
      </c>
      <c r="K5" s="47"/>
      <c r="L5" s="47"/>
      <c r="M5" s="47">
        <v>16</v>
      </c>
      <c r="N5" s="47" t="s">
        <v>29</v>
      </c>
      <c r="O5" s="47" t="s">
        <v>30</v>
      </c>
      <c r="P5" s="47"/>
      <c r="Q5" s="50" t="s">
        <v>31</v>
      </c>
      <c r="R5" s="47" t="s">
        <v>27</v>
      </c>
    </row>
    <row r="6" spans="1:18">
      <c r="A6" s="203"/>
      <c r="B6" s="47" t="s">
        <v>32</v>
      </c>
      <c r="C6" s="48" t="s">
        <v>28</v>
      </c>
      <c r="D6" s="47" t="s">
        <v>18</v>
      </c>
      <c r="E6" s="52">
        <f t="shared" si="0"/>
        <v>15.155200000000001</v>
      </c>
      <c r="F6" s="52">
        <f t="shared" si="1"/>
        <v>15.155200000000001</v>
      </c>
      <c r="G6" s="50">
        <v>2048</v>
      </c>
      <c r="H6" s="50">
        <v>2048</v>
      </c>
      <c r="I6" s="47">
        <v>7.4</v>
      </c>
      <c r="J6" s="49">
        <f t="shared" si="2"/>
        <v>4.1943039999999998</v>
      </c>
      <c r="K6" s="47"/>
      <c r="L6" s="47"/>
      <c r="M6" s="47">
        <v>16</v>
      </c>
      <c r="N6" s="47" t="s">
        <v>29</v>
      </c>
      <c r="O6" s="47" t="s">
        <v>30</v>
      </c>
      <c r="P6" s="47"/>
      <c r="Q6" s="50" t="s">
        <v>31</v>
      </c>
      <c r="R6" s="47" t="s">
        <v>33</v>
      </c>
    </row>
    <row r="7" spans="1:18">
      <c r="A7" s="203"/>
      <c r="B7" s="47">
        <v>11000</v>
      </c>
      <c r="C7" s="48" t="s">
        <v>34</v>
      </c>
      <c r="D7" s="47" t="s">
        <v>18</v>
      </c>
      <c r="E7" s="52">
        <f t="shared" si="0"/>
        <v>36.072000000000003</v>
      </c>
      <c r="F7" s="52">
        <f t="shared" si="1"/>
        <v>24.048000000000002</v>
      </c>
      <c r="G7" s="50">
        <v>4008</v>
      </c>
      <c r="H7" s="50">
        <v>2672</v>
      </c>
      <c r="I7" s="47">
        <v>9</v>
      </c>
      <c r="J7" s="49">
        <f t="shared" si="2"/>
        <v>10.709375999999999</v>
      </c>
      <c r="K7" s="47"/>
      <c r="L7" s="47"/>
      <c r="M7" s="47">
        <v>16</v>
      </c>
      <c r="N7" s="47" t="s">
        <v>35</v>
      </c>
      <c r="O7" s="47" t="s">
        <v>36</v>
      </c>
      <c r="P7" s="47"/>
      <c r="Q7" s="50" t="s">
        <v>37</v>
      </c>
      <c r="R7" s="47" t="s">
        <v>38</v>
      </c>
    </row>
    <row r="8" spans="1:18">
      <c r="A8" s="203"/>
      <c r="B8" s="133"/>
      <c r="C8" s="151"/>
      <c r="D8" s="133"/>
      <c r="E8" s="152" t="e">
        <f>#REF!</f>
        <v>#REF!</v>
      </c>
      <c r="F8" s="152" t="e">
        <f>#REF!</f>
        <v>#REF!</v>
      </c>
      <c r="G8" s="153" t="e">
        <f>ROUND(E8*1000/I8,0)</f>
        <v>#REF!</v>
      </c>
      <c r="H8" s="153" t="e">
        <f>ROUND(F8*1000/I8,0)</f>
        <v>#REF!</v>
      </c>
      <c r="I8" s="133" t="e">
        <f>#REF!</f>
        <v>#REF!</v>
      </c>
      <c r="J8" s="154" t="e">
        <f>0.000001*G8*H8</f>
        <v>#REF!</v>
      </c>
      <c r="K8" s="133"/>
      <c r="L8" s="133"/>
      <c r="M8" s="133"/>
      <c r="N8" s="133"/>
      <c r="O8" s="133"/>
      <c r="P8" s="133"/>
      <c r="Q8" s="153"/>
      <c r="R8" s="133"/>
    </row>
    <row r="9" spans="1:18">
      <c r="A9" s="203"/>
      <c r="B9" s="133"/>
      <c r="C9" s="151"/>
      <c r="D9" s="133"/>
      <c r="E9" s="152" t="e">
        <f>#REF!</f>
        <v>#REF!</v>
      </c>
      <c r="F9" s="152" t="e">
        <f>#REF!</f>
        <v>#REF!</v>
      </c>
      <c r="G9" s="153" t="e">
        <f>ROUND(E9*1000/I9,0)</f>
        <v>#REF!</v>
      </c>
      <c r="H9" s="153" t="e">
        <f>ROUND(F9*1000/I9,0)</f>
        <v>#REF!</v>
      </c>
      <c r="I9" s="133" t="e">
        <f>#REF!</f>
        <v>#REF!</v>
      </c>
      <c r="J9" s="154" t="e">
        <f>0.000001*G9*H9</f>
        <v>#REF!</v>
      </c>
      <c r="K9" s="133"/>
      <c r="L9" s="133"/>
      <c r="M9" s="133"/>
      <c r="N9" s="133"/>
      <c r="O9" s="133"/>
      <c r="P9" s="133"/>
      <c r="Q9" s="153"/>
      <c r="R9" s="133"/>
    </row>
    <row r="10" spans="1:18">
      <c r="A10" s="203"/>
      <c r="B10" s="133"/>
      <c r="C10" s="151"/>
      <c r="D10" s="133"/>
      <c r="E10" s="152" t="e">
        <f>#REF!</f>
        <v>#REF!</v>
      </c>
      <c r="F10" s="152" t="e">
        <f>#REF!</f>
        <v>#REF!</v>
      </c>
      <c r="G10" s="153" t="e">
        <f>ROUND(E10*1000/I10,0)</f>
        <v>#REF!</v>
      </c>
      <c r="H10" s="153" t="e">
        <f>ROUND(F10*1000/I10,0)</f>
        <v>#REF!</v>
      </c>
      <c r="I10" s="133" t="e">
        <f>#REF!</f>
        <v>#REF!</v>
      </c>
      <c r="J10" s="154" t="e">
        <f>0.000001*G10*H10</f>
        <v>#REF!</v>
      </c>
      <c r="K10" s="133"/>
      <c r="L10" s="133"/>
      <c r="M10" s="133"/>
      <c r="N10" s="133"/>
      <c r="O10" s="133"/>
      <c r="P10" s="133"/>
      <c r="Q10" s="153"/>
      <c r="R10" s="133"/>
    </row>
    <row r="11" spans="1:18">
      <c r="A11" s="203"/>
      <c r="B11" s="53" t="s">
        <v>39</v>
      </c>
      <c r="C11" s="54" t="s">
        <v>40</v>
      </c>
      <c r="D11" s="53" t="s">
        <v>18</v>
      </c>
      <c r="E11" s="55">
        <f t="shared" si="0"/>
        <v>4.8766000000000007</v>
      </c>
      <c r="F11" s="55">
        <f t="shared" si="1"/>
        <v>3.6556000000000006</v>
      </c>
      <c r="G11" s="56">
        <v>659</v>
      </c>
      <c r="H11" s="56">
        <v>494</v>
      </c>
      <c r="I11" s="53">
        <v>7.4</v>
      </c>
      <c r="J11" s="57">
        <f t="shared" si="2"/>
        <v>0.325546</v>
      </c>
      <c r="K11" s="53"/>
      <c r="L11" s="53"/>
      <c r="M11" s="53">
        <v>16</v>
      </c>
      <c r="N11" s="53" t="s">
        <v>26</v>
      </c>
      <c r="O11" s="53"/>
      <c r="P11" s="53"/>
      <c r="Q11" s="56"/>
      <c r="R11" s="53" t="s">
        <v>41</v>
      </c>
    </row>
    <row r="12" spans="1:18">
      <c r="A12" s="203" t="s">
        <v>42</v>
      </c>
      <c r="B12" s="62" t="s">
        <v>43</v>
      </c>
      <c r="C12" s="63" t="s">
        <v>44</v>
      </c>
      <c r="D12" s="62" t="s">
        <v>18</v>
      </c>
      <c r="E12" s="64">
        <f>G12*I12*0.001</f>
        <v>3.6903999999999999</v>
      </c>
      <c r="F12" s="64">
        <f>H12*I12*0.001</f>
        <v>2.7663999999999995</v>
      </c>
      <c r="G12" s="65">
        <v>659</v>
      </c>
      <c r="H12" s="65">
        <v>494</v>
      </c>
      <c r="I12" s="62">
        <v>5.6</v>
      </c>
      <c r="J12" s="66">
        <f t="shared" ref="J12:J24" si="3">0.000001*G12*H12</f>
        <v>0.325546</v>
      </c>
      <c r="K12" s="62" t="s">
        <v>45</v>
      </c>
      <c r="L12" s="62" t="s">
        <v>46</v>
      </c>
      <c r="M12" s="62" t="s">
        <v>55</v>
      </c>
      <c r="N12" s="62"/>
      <c r="O12" s="62"/>
      <c r="P12" s="62"/>
      <c r="Q12" s="65"/>
      <c r="R12" s="62"/>
    </row>
    <row r="13" spans="1:18" ht="12.75" customHeight="1">
      <c r="A13" s="203"/>
      <c r="B13" s="62" t="s">
        <v>47</v>
      </c>
      <c r="C13" s="63" t="s">
        <v>48</v>
      </c>
      <c r="D13" s="62" t="s">
        <v>18</v>
      </c>
      <c r="E13" s="64">
        <f>G13*I13*0.001</f>
        <v>4.8600000000000003</v>
      </c>
      <c r="F13" s="64">
        <f>H13*I13*0.001</f>
        <v>3.6225000000000001</v>
      </c>
      <c r="G13" s="65">
        <v>1296</v>
      </c>
      <c r="H13" s="65">
        <v>966</v>
      </c>
      <c r="I13" s="62">
        <v>3.75</v>
      </c>
      <c r="J13" s="66">
        <f t="shared" si="3"/>
        <v>1.2519359999999999</v>
      </c>
      <c r="K13" s="62">
        <v>32</v>
      </c>
      <c r="L13" s="62" t="s">
        <v>49</v>
      </c>
      <c r="M13" s="62" t="s">
        <v>55</v>
      </c>
      <c r="N13" s="62"/>
      <c r="O13" s="62"/>
      <c r="P13" s="62"/>
      <c r="Q13" s="65"/>
      <c r="R13" s="62"/>
    </row>
    <row r="14" spans="1:18" ht="12.75" customHeight="1">
      <c r="A14" s="203"/>
      <c r="B14" s="62" t="s">
        <v>50</v>
      </c>
      <c r="C14" s="63" t="s">
        <v>51</v>
      </c>
      <c r="D14" s="62" t="s">
        <v>18</v>
      </c>
      <c r="E14" s="64">
        <f>G14*I14*0.001</f>
        <v>7.1632000000000007</v>
      </c>
      <c r="F14" s="64">
        <f>H14*I14*0.001</f>
        <v>5.4384000000000006</v>
      </c>
      <c r="G14" s="65">
        <v>1628</v>
      </c>
      <c r="H14" s="65">
        <v>1236</v>
      </c>
      <c r="I14" s="62">
        <v>4.4000000000000004</v>
      </c>
      <c r="J14" s="66">
        <f t="shared" si="3"/>
        <v>2.0122079999999998</v>
      </c>
      <c r="K14" s="62">
        <v>17</v>
      </c>
      <c r="L14" s="62" t="s">
        <v>52</v>
      </c>
      <c r="M14" s="62" t="s">
        <v>55</v>
      </c>
      <c r="N14" s="62"/>
      <c r="O14" s="62"/>
      <c r="P14" s="62"/>
      <c r="Q14" s="65"/>
      <c r="R14" s="62"/>
    </row>
    <row r="15" spans="1:18" ht="12.75" customHeight="1">
      <c r="A15" s="203" t="s">
        <v>300</v>
      </c>
      <c r="B15" s="58" t="s">
        <v>335</v>
      </c>
      <c r="C15" s="59"/>
      <c r="D15" s="58" t="s">
        <v>208</v>
      </c>
      <c r="E15" s="60">
        <v>22.2</v>
      </c>
      <c r="F15" s="60">
        <v>14.8</v>
      </c>
      <c r="G15" s="61">
        <v>3888</v>
      </c>
      <c r="H15" s="61">
        <v>2592</v>
      </c>
      <c r="I15" s="60">
        <f>ROUND(E15/G15*1000,1)</f>
        <v>5.7</v>
      </c>
      <c r="J15" s="60">
        <f t="shared" si="3"/>
        <v>10.077696</v>
      </c>
      <c r="K15" s="58"/>
      <c r="L15" s="58"/>
      <c r="M15" s="58"/>
      <c r="N15" s="58"/>
      <c r="O15" s="58"/>
      <c r="P15" s="58"/>
      <c r="Q15" s="61"/>
      <c r="R15" s="58"/>
    </row>
    <row r="16" spans="1:18" ht="12.75" customHeight="1">
      <c r="A16" s="203"/>
      <c r="B16" s="47" t="s">
        <v>336</v>
      </c>
      <c r="C16" s="48"/>
      <c r="D16" s="47" t="s">
        <v>208</v>
      </c>
      <c r="E16" s="49">
        <v>22.2</v>
      </c>
      <c r="F16" s="49">
        <v>14.8</v>
      </c>
      <c r="G16" s="50">
        <v>4272</v>
      </c>
      <c r="H16" s="50">
        <v>2848</v>
      </c>
      <c r="I16" s="49">
        <f>ROUND(E16/G16*1000,1)</f>
        <v>5.2</v>
      </c>
      <c r="J16" s="49">
        <f t="shared" si="3"/>
        <v>12.166656</v>
      </c>
      <c r="K16" s="47"/>
      <c r="L16" s="47"/>
      <c r="M16" s="47"/>
      <c r="N16" s="47"/>
      <c r="O16" s="47"/>
      <c r="P16" s="47"/>
      <c r="Q16" s="50"/>
      <c r="R16" s="47"/>
    </row>
    <row r="17" spans="1:18" ht="12.75" customHeight="1">
      <c r="A17" s="203"/>
      <c r="B17" s="47" t="s">
        <v>337</v>
      </c>
      <c r="C17" s="48"/>
      <c r="D17" s="47" t="s">
        <v>208</v>
      </c>
      <c r="E17" s="49">
        <v>22.7</v>
      </c>
      <c r="F17" s="49">
        <v>15.1</v>
      </c>
      <c r="G17" s="50">
        <v>3072</v>
      </c>
      <c r="H17" s="50">
        <v>2048</v>
      </c>
      <c r="I17" s="49">
        <f>ROUND(E17/G17*1000,1)</f>
        <v>7.4</v>
      </c>
      <c r="J17" s="49">
        <f t="shared" si="3"/>
        <v>6.2914560000000002</v>
      </c>
      <c r="K17" s="47"/>
      <c r="L17" s="47"/>
      <c r="M17" s="47"/>
      <c r="N17" s="47"/>
      <c r="O17" s="47"/>
      <c r="P17" s="47"/>
      <c r="Q17" s="50"/>
      <c r="R17" s="47"/>
    </row>
    <row r="18" spans="1:18" ht="12.75" customHeight="1">
      <c r="A18" s="203"/>
      <c r="B18" s="47" t="s">
        <v>338</v>
      </c>
      <c r="C18" s="48"/>
      <c r="D18" s="47" t="s">
        <v>208</v>
      </c>
      <c r="E18" s="49">
        <v>22.2</v>
      </c>
      <c r="F18" s="49">
        <v>14.8</v>
      </c>
      <c r="G18" s="50">
        <v>3456</v>
      </c>
      <c r="H18" s="50">
        <v>2304</v>
      </c>
      <c r="I18" s="49">
        <f>ROUND(E18/G18*1000,1)</f>
        <v>6.4</v>
      </c>
      <c r="J18" s="49">
        <f t="shared" si="3"/>
        <v>7.9626239999999999</v>
      </c>
      <c r="K18" s="47"/>
      <c r="L18" s="47"/>
      <c r="M18" s="47"/>
      <c r="N18" s="47"/>
      <c r="O18" s="47"/>
      <c r="P18" s="47"/>
      <c r="Q18" s="50"/>
      <c r="R18" s="47"/>
    </row>
    <row r="19" spans="1:18" ht="12.75" customHeight="1">
      <c r="A19" s="203"/>
      <c r="B19" s="47" t="s">
        <v>339</v>
      </c>
      <c r="C19" s="48"/>
      <c r="D19" s="47" t="s">
        <v>208</v>
      </c>
      <c r="E19" s="49">
        <v>22.2</v>
      </c>
      <c r="F19" s="49">
        <v>14.8</v>
      </c>
      <c r="G19" s="50">
        <v>3888</v>
      </c>
      <c r="H19" s="50">
        <v>2592</v>
      </c>
      <c r="I19" s="49">
        <f t="shared" ref="I19:I41" si="4">ROUND(E19/G19*1000,1)</f>
        <v>5.7</v>
      </c>
      <c r="J19" s="49">
        <f t="shared" si="3"/>
        <v>10.077696</v>
      </c>
      <c r="K19" s="47"/>
      <c r="L19" s="47"/>
      <c r="M19" s="47"/>
      <c r="N19" s="47"/>
      <c r="O19" s="47"/>
      <c r="P19" s="47"/>
      <c r="Q19" s="50"/>
      <c r="R19" s="47"/>
    </row>
    <row r="20" spans="1:18" ht="12.75" customHeight="1">
      <c r="A20" s="203"/>
      <c r="B20" s="47" t="s">
        <v>340</v>
      </c>
      <c r="C20" s="48"/>
      <c r="D20" s="47" t="s">
        <v>208</v>
      </c>
      <c r="E20" s="49">
        <v>22.2</v>
      </c>
      <c r="F20" s="49">
        <v>14.8</v>
      </c>
      <c r="G20" s="50">
        <v>4272</v>
      </c>
      <c r="H20" s="50">
        <v>2848</v>
      </c>
      <c r="I20" s="49">
        <f t="shared" si="4"/>
        <v>5.2</v>
      </c>
      <c r="J20" s="49">
        <f t="shared" si="3"/>
        <v>12.166656</v>
      </c>
      <c r="K20" s="47"/>
      <c r="L20" s="47"/>
      <c r="M20" s="47"/>
      <c r="N20" s="47"/>
      <c r="O20" s="47"/>
      <c r="P20" s="47"/>
      <c r="Q20" s="50"/>
      <c r="R20" s="47"/>
    </row>
    <row r="21" spans="1:18" ht="12.75" customHeight="1">
      <c r="A21" s="203"/>
      <c r="B21" s="47" t="s">
        <v>341</v>
      </c>
      <c r="C21" s="48"/>
      <c r="D21" s="47" t="s">
        <v>208</v>
      </c>
      <c r="E21" s="49">
        <v>22.3</v>
      </c>
      <c r="F21" s="49">
        <v>14.9</v>
      </c>
      <c r="G21" s="50">
        <v>4752</v>
      </c>
      <c r="H21" s="50">
        <v>3168</v>
      </c>
      <c r="I21" s="49">
        <f t="shared" si="4"/>
        <v>4.7</v>
      </c>
      <c r="J21" s="49">
        <f t="shared" si="3"/>
        <v>15.054336000000001</v>
      </c>
      <c r="K21" s="47"/>
      <c r="L21" s="47"/>
      <c r="M21" s="47"/>
      <c r="N21" s="47"/>
      <c r="O21" s="47"/>
      <c r="P21" s="47"/>
      <c r="Q21" s="50"/>
      <c r="R21" s="47"/>
    </row>
    <row r="22" spans="1:18" ht="12.75" customHeight="1">
      <c r="A22" s="203"/>
      <c r="B22" s="47" t="s">
        <v>342</v>
      </c>
      <c r="C22" s="48"/>
      <c r="D22" s="47" t="s">
        <v>208</v>
      </c>
      <c r="E22" s="49">
        <v>22.3</v>
      </c>
      <c r="F22" s="49">
        <v>14.9</v>
      </c>
      <c r="G22" s="50">
        <v>5184</v>
      </c>
      <c r="H22" s="50">
        <v>3456</v>
      </c>
      <c r="I22" s="49">
        <f t="shared" si="4"/>
        <v>4.3</v>
      </c>
      <c r="J22" s="49">
        <f t="shared" si="3"/>
        <v>17.915903999999998</v>
      </c>
      <c r="K22" s="51"/>
      <c r="L22" s="47"/>
      <c r="M22" s="47"/>
      <c r="N22" s="47"/>
      <c r="O22" s="47"/>
      <c r="P22" s="47"/>
      <c r="Q22" s="50"/>
      <c r="R22" s="47"/>
    </row>
    <row r="23" spans="1:18" ht="12.75" customHeight="1">
      <c r="A23" s="203"/>
      <c r="B23" s="47" t="s">
        <v>343</v>
      </c>
      <c r="C23" s="48"/>
      <c r="D23" s="47" t="s">
        <v>208</v>
      </c>
      <c r="E23" s="49">
        <v>22.3</v>
      </c>
      <c r="F23" s="49">
        <v>14.9</v>
      </c>
      <c r="G23" s="50">
        <v>5184</v>
      </c>
      <c r="H23" s="50">
        <v>3456</v>
      </c>
      <c r="I23" s="49">
        <f t="shared" si="4"/>
        <v>4.3</v>
      </c>
      <c r="J23" s="49">
        <f t="shared" si="3"/>
        <v>17.915903999999998</v>
      </c>
      <c r="K23" s="47"/>
      <c r="L23" s="47"/>
      <c r="M23" s="47"/>
      <c r="N23" s="47"/>
      <c r="O23" s="47"/>
      <c r="P23" s="47"/>
      <c r="Q23" s="50"/>
      <c r="R23" s="47"/>
    </row>
    <row r="24" spans="1:18" ht="12.75" customHeight="1">
      <c r="A24" s="203"/>
      <c r="B24" s="47" t="s">
        <v>330</v>
      </c>
      <c r="C24" s="48"/>
      <c r="D24" s="47" t="s">
        <v>208</v>
      </c>
      <c r="E24" s="49">
        <v>22.7</v>
      </c>
      <c r="F24" s="49">
        <v>15.1</v>
      </c>
      <c r="G24" s="50">
        <v>3072</v>
      </c>
      <c r="H24" s="50">
        <v>2048</v>
      </c>
      <c r="I24" s="49">
        <f t="shared" si="4"/>
        <v>7.4</v>
      </c>
      <c r="J24" s="49">
        <f t="shared" si="3"/>
        <v>6.2914560000000002</v>
      </c>
      <c r="K24" s="47"/>
      <c r="L24" s="47"/>
      <c r="M24" s="47"/>
      <c r="N24" s="47"/>
      <c r="O24" s="47"/>
      <c r="P24" s="47"/>
      <c r="Q24" s="50"/>
      <c r="R24" s="47"/>
    </row>
    <row r="25" spans="1:18" ht="12.75" customHeight="1">
      <c r="A25" s="203"/>
      <c r="B25" s="47" t="s">
        <v>344</v>
      </c>
      <c r="C25" s="48"/>
      <c r="D25" s="47" t="s">
        <v>208</v>
      </c>
      <c r="E25" s="49">
        <v>22.5</v>
      </c>
      <c r="F25" s="49">
        <v>15</v>
      </c>
      <c r="G25" s="50">
        <v>3504</v>
      </c>
      <c r="H25" s="50">
        <v>2336</v>
      </c>
      <c r="I25" s="49">
        <f t="shared" si="4"/>
        <v>6.4</v>
      </c>
      <c r="J25" s="49">
        <f t="shared" ref="J25:J43" si="5">0.000001*G25*H25</f>
        <v>8.1853439999999988</v>
      </c>
      <c r="K25" s="51"/>
      <c r="L25" s="47"/>
      <c r="M25" s="47"/>
      <c r="N25" s="47"/>
      <c r="O25" s="47"/>
      <c r="P25" s="47"/>
      <c r="Q25" s="50"/>
      <c r="R25" s="47"/>
    </row>
    <row r="26" spans="1:18" ht="12.75" customHeight="1">
      <c r="A26" s="203"/>
      <c r="B26" s="47" t="s">
        <v>345</v>
      </c>
      <c r="C26" s="48"/>
      <c r="D26" s="47" t="s">
        <v>208</v>
      </c>
      <c r="E26" s="49">
        <v>22.5</v>
      </c>
      <c r="F26" s="49">
        <v>15</v>
      </c>
      <c r="G26" s="50">
        <v>3504</v>
      </c>
      <c r="H26" s="50">
        <v>2336</v>
      </c>
      <c r="I26" s="49">
        <f t="shared" si="4"/>
        <v>6.4</v>
      </c>
      <c r="J26" s="49">
        <f t="shared" si="5"/>
        <v>8.1853439999999988</v>
      </c>
      <c r="K26" s="47"/>
      <c r="L26" s="47"/>
      <c r="M26" s="47"/>
      <c r="N26" s="47"/>
      <c r="O26" s="47"/>
      <c r="P26" s="47"/>
      <c r="Q26" s="50"/>
      <c r="R26" s="47"/>
    </row>
    <row r="27" spans="1:18" ht="12.75" customHeight="1">
      <c r="A27" s="203"/>
      <c r="B27" s="47" t="s">
        <v>346</v>
      </c>
      <c r="C27" s="48"/>
      <c r="D27" s="47" t="s">
        <v>208</v>
      </c>
      <c r="E27" s="49">
        <v>22.2</v>
      </c>
      <c r="F27" s="49">
        <v>14.8</v>
      </c>
      <c r="G27" s="50">
        <v>3888</v>
      </c>
      <c r="H27" s="50">
        <v>2592</v>
      </c>
      <c r="I27" s="49">
        <f t="shared" si="4"/>
        <v>5.7</v>
      </c>
      <c r="J27" s="49">
        <f t="shared" si="5"/>
        <v>10.077696</v>
      </c>
      <c r="K27" s="47"/>
      <c r="L27" s="47"/>
      <c r="M27" s="47"/>
      <c r="N27" s="47"/>
      <c r="O27" s="47"/>
      <c r="P27" s="47"/>
      <c r="Q27" s="50"/>
      <c r="R27" s="47"/>
    </row>
    <row r="28" spans="1:18" ht="12.75" customHeight="1">
      <c r="A28" s="203"/>
      <c r="B28" s="47" t="s">
        <v>347</v>
      </c>
      <c r="C28" s="48"/>
      <c r="D28" s="47" t="s">
        <v>208</v>
      </c>
      <c r="E28" s="49">
        <v>22.2</v>
      </c>
      <c r="F28" s="49">
        <v>14.8</v>
      </c>
      <c r="G28" s="50">
        <v>4752</v>
      </c>
      <c r="H28" s="50">
        <v>3168</v>
      </c>
      <c r="I28" s="49">
        <f t="shared" si="4"/>
        <v>4.7</v>
      </c>
      <c r="J28" s="49">
        <f t="shared" si="5"/>
        <v>15.054336000000001</v>
      </c>
      <c r="K28" s="47"/>
      <c r="L28" s="47"/>
      <c r="M28" s="47"/>
      <c r="N28" s="47"/>
      <c r="O28" s="47"/>
      <c r="P28" s="47"/>
      <c r="Q28" s="50"/>
      <c r="R28" s="47"/>
    </row>
    <row r="29" spans="1:18" ht="12.75" customHeight="1">
      <c r="A29" s="203"/>
      <c r="B29" s="47" t="s">
        <v>348</v>
      </c>
      <c r="C29" s="48"/>
      <c r="D29" s="47" t="s">
        <v>208</v>
      </c>
      <c r="E29" s="49">
        <v>22.3</v>
      </c>
      <c r="F29" s="49">
        <v>14.9</v>
      </c>
      <c r="G29" s="50">
        <v>5184</v>
      </c>
      <c r="H29" s="50">
        <v>3456</v>
      </c>
      <c r="I29" s="49">
        <f t="shared" si="4"/>
        <v>4.3</v>
      </c>
      <c r="J29" s="49">
        <f t="shared" si="5"/>
        <v>17.915903999999998</v>
      </c>
      <c r="K29" s="47"/>
      <c r="L29" s="47"/>
      <c r="M29" s="47"/>
      <c r="N29" s="47"/>
      <c r="O29" s="47"/>
      <c r="P29" s="47"/>
      <c r="Q29" s="50"/>
      <c r="R29" s="47"/>
    </row>
    <row r="30" spans="1:18" ht="12.75" customHeight="1">
      <c r="A30" s="203"/>
      <c r="B30" s="47" t="s">
        <v>522</v>
      </c>
      <c r="C30" s="151"/>
      <c r="D30" s="47" t="s">
        <v>208</v>
      </c>
      <c r="E30" s="152" t="e">
        <f>#REF!</f>
        <v>#REF!</v>
      </c>
      <c r="F30" s="152" t="e">
        <f>#REF!</f>
        <v>#REF!</v>
      </c>
      <c r="G30" s="153" t="e">
        <f>ROUND(E30*1000/I30,0)</f>
        <v>#REF!</v>
      </c>
      <c r="H30" s="153" t="e">
        <f>ROUND(F30*1000/I30,0)</f>
        <v>#REF!</v>
      </c>
      <c r="I30" s="154" t="e">
        <f>#REF!</f>
        <v>#REF!</v>
      </c>
      <c r="J30" s="154" t="e">
        <f>0.000001*G30*H30</f>
        <v>#REF!</v>
      </c>
      <c r="K30" s="133"/>
      <c r="L30" s="133"/>
      <c r="M30" s="133"/>
      <c r="N30" s="133"/>
      <c r="O30" s="133"/>
      <c r="P30" s="133"/>
      <c r="Q30" s="153"/>
      <c r="R30" s="133"/>
    </row>
    <row r="31" spans="1:18" ht="12.75" customHeight="1">
      <c r="A31" s="203"/>
      <c r="B31" s="47" t="s">
        <v>523</v>
      </c>
      <c r="C31" s="151"/>
      <c r="D31" s="47" t="s">
        <v>208</v>
      </c>
      <c r="E31" s="49">
        <v>22.3</v>
      </c>
      <c r="F31" s="49">
        <v>14.9</v>
      </c>
      <c r="G31" s="153">
        <f>ROUND(E31*1000/I31,0)</f>
        <v>6027</v>
      </c>
      <c r="H31" s="153">
        <f>ROUND(F31*1000/I31,0)</f>
        <v>4027</v>
      </c>
      <c r="I31" s="154">
        <v>3.7</v>
      </c>
      <c r="J31" s="154">
        <f>0.000001*G31*H31</f>
        <v>24.270728999999996</v>
      </c>
      <c r="K31" s="133"/>
      <c r="L31" s="133"/>
      <c r="M31" s="133"/>
      <c r="N31" s="133"/>
      <c r="O31" s="133"/>
      <c r="P31" s="133"/>
      <c r="Q31" s="153"/>
      <c r="R31" s="133"/>
    </row>
    <row r="32" spans="1:18" ht="12.75" customHeight="1">
      <c r="A32" s="203"/>
      <c r="B32" s="47" t="s">
        <v>349</v>
      </c>
      <c r="C32" s="48"/>
      <c r="D32" s="47" t="s">
        <v>208</v>
      </c>
      <c r="E32" s="49">
        <v>22.2</v>
      </c>
      <c r="F32" s="49">
        <v>14.8</v>
      </c>
      <c r="G32" s="50">
        <v>5184</v>
      </c>
      <c r="H32" s="50">
        <v>3456</v>
      </c>
      <c r="I32" s="49">
        <f t="shared" si="4"/>
        <v>4.3</v>
      </c>
      <c r="J32" s="49">
        <f t="shared" si="5"/>
        <v>17.915903999999998</v>
      </c>
      <c r="K32" s="47"/>
      <c r="L32" s="47"/>
      <c r="M32" s="47"/>
      <c r="N32" s="47"/>
      <c r="O32" s="47"/>
      <c r="P32" s="47"/>
      <c r="Q32" s="50"/>
      <c r="R32" s="47"/>
    </row>
    <row r="33" spans="1:18" ht="12.75" customHeight="1">
      <c r="A33" s="203"/>
      <c r="B33" s="47" t="s">
        <v>350</v>
      </c>
      <c r="C33" s="48"/>
      <c r="D33" s="47" t="s">
        <v>208</v>
      </c>
      <c r="E33" s="49">
        <v>35.799999999999997</v>
      </c>
      <c r="F33" s="49">
        <v>23.9</v>
      </c>
      <c r="G33" s="50">
        <v>4368</v>
      </c>
      <c r="H33" s="50">
        <v>2912</v>
      </c>
      <c r="I33" s="49">
        <f t="shared" si="4"/>
        <v>8.1999999999999993</v>
      </c>
      <c r="J33" s="49">
        <f t="shared" si="5"/>
        <v>12.719615999999998</v>
      </c>
      <c r="K33" s="47"/>
      <c r="L33" s="47"/>
      <c r="M33" s="47"/>
      <c r="N33" s="47"/>
      <c r="O33" s="47"/>
      <c r="P33" s="47"/>
      <c r="Q33" s="50"/>
      <c r="R33" s="47"/>
    </row>
    <row r="34" spans="1:18" ht="12.75" customHeight="1">
      <c r="A34" s="203"/>
      <c r="B34" s="47" t="s">
        <v>351</v>
      </c>
      <c r="C34" s="48"/>
      <c r="D34" s="47" t="s">
        <v>208</v>
      </c>
      <c r="E34" s="49">
        <v>35.799999999999997</v>
      </c>
      <c r="F34" s="49">
        <v>23.9</v>
      </c>
      <c r="G34" s="50">
        <v>5616</v>
      </c>
      <c r="H34" s="50">
        <v>3744</v>
      </c>
      <c r="I34" s="49">
        <f t="shared" si="4"/>
        <v>6.4</v>
      </c>
      <c r="J34" s="49">
        <f t="shared" si="5"/>
        <v>21.026304</v>
      </c>
      <c r="K34" s="51"/>
      <c r="L34" s="47"/>
      <c r="M34" s="47"/>
      <c r="N34" s="47"/>
      <c r="O34" s="47"/>
      <c r="P34" s="47"/>
      <c r="Q34" s="50"/>
      <c r="R34" s="47"/>
    </row>
    <row r="35" spans="1:18" ht="12.75" customHeight="1">
      <c r="A35" s="203"/>
      <c r="B35" s="47" t="s">
        <v>352</v>
      </c>
      <c r="C35" s="48"/>
      <c r="D35" s="47" t="s">
        <v>208</v>
      </c>
      <c r="E35" s="49">
        <v>28.7</v>
      </c>
      <c r="F35" s="49">
        <v>19.100000000000001</v>
      </c>
      <c r="G35" s="50">
        <v>2464</v>
      </c>
      <c r="H35" s="50">
        <v>1648</v>
      </c>
      <c r="I35" s="49">
        <f t="shared" si="4"/>
        <v>11.6</v>
      </c>
      <c r="J35" s="49">
        <f t="shared" si="5"/>
        <v>4.0606720000000003</v>
      </c>
      <c r="K35" s="47"/>
      <c r="L35" s="47"/>
      <c r="M35" s="47"/>
      <c r="N35" s="47"/>
      <c r="O35" s="47"/>
      <c r="P35" s="47"/>
      <c r="Q35" s="50"/>
      <c r="R35" s="47"/>
    </row>
    <row r="36" spans="1:18" ht="12.75" customHeight="1">
      <c r="A36" s="203"/>
      <c r="B36" s="47" t="s">
        <v>353</v>
      </c>
      <c r="C36" s="48"/>
      <c r="D36" s="47" t="s">
        <v>208</v>
      </c>
      <c r="E36" s="49">
        <v>28.7</v>
      </c>
      <c r="F36" s="49">
        <v>19.100000000000001</v>
      </c>
      <c r="G36" s="50">
        <v>3504</v>
      </c>
      <c r="H36" s="50">
        <v>2336</v>
      </c>
      <c r="I36" s="49">
        <f t="shared" si="4"/>
        <v>8.1999999999999993</v>
      </c>
      <c r="J36" s="49">
        <f t="shared" si="5"/>
        <v>8.1853439999999988</v>
      </c>
      <c r="K36" s="51"/>
      <c r="L36" s="47"/>
      <c r="M36" s="47"/>
      <c r="N36" s="47"/>
      <c r="O36" s="47"/>
      <c r="P36" s="47"/>
      <c r="Q36" s="50"/>
      <c r="R36" s="47"/>
    </row>
    <row r="37" spans="1:18" ht="12.75" customHeight="1">
      <c r="A37" s="203"/>
      <c r="B37" s="47" t="s">
        <v>354</v>
      </c>
      <c r="C37" s="48"/>
      <c r="D37" s="47" t="s">
        <v>208</v>
      </c>
      <c r="E37" s="49">
        <v>28.1</v>
      </c>
      <c r="F37" s="49">
        <v>18.7</v>
      </c>
      <c r="G37" s="50">
        <v>3888</v>
      </c>
      <c r="H37" s="50">
        <v>2592</v>
      </c>
      <c r="I37" s="49">
        <f>ROUND(E37/G37*1000,1)</f>
        <v>7.2</v>
      </c>
      <c r="J37" s="49">
        <f>0.000001*G37*H37</f>
        <v>10.077696</v>
      </c>
      <c r="K37" s="51"/>
      <c r="L37" s="47"/>
      <c r="M37" s="47"/>
      <c r="N37" s="47"/>
      <c r="O37" s="47"/>
      <c r="P37" s="47"/>
      <c r="Q37" s="50"/>
      <c r="R37" s="47"/>
    </row>
    <row r="38" spans="1:18" ht="12.75" customHeight="1">
      <c r="A38" s="203"/>
      <c r="B38" s="47" t="s">
        <v>358</v>
      </c>
      <c r="C38" s="48"/>
      <c r="D38" s="47" t="s">
        <v>208</v>
      </c>
      <c r="E38" s="49">
        <v>27.9</v>
      </c>
      <c r="F38" s="49">
        <v>18.600000000000001</v>
      </c>
      <c r="G38" s="50">
        <v>4896</v>
      </c>
      <c r="H38" s="50">
        <v>3264</v>
      </c>
      <c r="I38" s="49">
        <f>ROUND(E38/G38*1000,1)</f>
        <v>5.7</v>
      </c>
      <c r="J38" s="49">
        <f>0.000001*G38*H38</f>
        <v>15.980544</v>
      </c>
      <c r="K38" s="51"/>
      <c r="L38" s="47"/>
      <c r="M38" s="47"/>
      <c r="N38" s="47"/>
      <c r="O38" s="47"/>
      <c r="P38" s="47"/>
      <c r="Q38" s="50"/>
      <c r="R38" s="47"/>
    </row>
    <row r="39" spans="1:18" ht="12.75" customHeight="1">
      <c r="A39" s="203"/>
      <c r="B39" s="47" t="s">
        <v>355</v>
      </c>
      <c r="C39" s="48"/>
      <c r="D39" s="47" t="s">
        <v>208</v>
      </c>
      <c r="E39" s="49">
        <v>35.799999999999997</v>
      </c>
      <c r="F39" s="49">
        <v>23.8</v>
      </c>
      <c r="G39" s="50">
        <v>4064</v>
      </c>
      <c r="H39" s="50">
        <v>2704</v>
      </c>
      <c r="I39" s="49">
        <f t="shared" si="4"/>
        <v>8.8000000000000007</v>
      </c>
      <c r="J39" s="49">
        <f t="shared" si="5"/>
        <v>10.989056</v>
      </c>
      <c r="K39" s="51"/>
      <c r="L39" s="47"/>
      <c r="M39" s="47"/>
      <c r="N39" s="47"/>
      <c r="O39" s="47"/>
      <c r="P39" s="47"/>
      <c r="Q39" s="50"/>
      <c r="R39" s="47"/>
    </row>
    <row r="40" spans="1:18" ht="12.75" customHeight="1">
      <c r="A40" s="203"/>
      <c r="B40" s="47" t="s">
        <v>356</v>
      </c>
      <c r="C40" s="48"/>
      <c r="D40" s="47" t="s">
        <v>208</v>
      </c>
      <c r="E40" s="49">
        <v>36</v>
      </c>
      <c r="F40" s="49">
        <v>24</v>
      </c>
      <c r="G40" s="50">
        <v>4992</v>
      </c>
      <c r="H40" s="50">
        <v>3328</v>
      </c>
      <c r="I40" s="49">
        <f t="shared" si="4"/>
        <v>7.2</v>
      </c>
      <c r="J40" s="49">
        <f t="shared" si="5"/>
        <v>16.613375999999999</v>
      </c>
      <c r="K40" s="51"/>
      <c r="L40" s="47"/>
      <c r="M40" s="47"/>
      <c r="N40" s="47"/>
      <c r="O40" s="47"/>
      <c r="P40" s="47"/>
      <c r="Q40" s="50"/>
      <c r="R40" s="47"/>
    </row>
    <row r="41" spans="1:18" ht="12.75" customHeight="1">
      <c r="A41" s="203"/>
      <c r="B41" s="47" t="s">
        <v>357</v>
      </c>
      <c r="C41" s="48"/>
      <c r="D41" s="47" t="s">
        <v>208</v>
      </c>
      <c r="E41" s="49">
        <v>36</v>
      </c>
      <c r="F41" s="49">
        <v>24</v>
      </c>
      <c r="G41" s="50">
        <v>5616</v>
      </c>
      <c r="H41" s="50">
        <v>3744</v>
      </c>
      <c r="I41" s="49">
        <f t="shared" si="4"/>
        <v>6.4</v>
      </c>
      <c r="J41" s="49">
        <f t="shared" si="5"/>
        <v>21.026304</v>
      </c>
      <c r="K41" s="51"/>
      <c r="L41" s="47"/>
      <c r="M41" s="47"/>
      <c r="N41" s="47"/>
      <c r="O41" s="47"/>
      <c r="P41" s="47"/>
      <c r="Q41" s="50"/>
      <c r="R41" s="47"/>
    </row>
    <row r="42" spans="1:18" ht="12.75" customHeight="1">
      <c r="A42" s="199" t="s">
        <v>476</v>
      </c>
      <c r="B42" s="47" t="s">
        <v>477</v>
      </c>
      <c r="C42" s="48" t="s">
        <v>44</v>
      </c>
      <c r="D42" s="47" t="s">
        <v>18</v>
      </c>
      <c r="E42" s="52">
        <f>G42*I42*0.001</f>
        <v>3.5840000000000001</v>
      </c>
      <c r="F42" s="52">
        <f>H42*I42*0.001</f>
        <v>2.6880000000000002</v>
      </c>
      <c r="G42" s="50">
        <v>640</v>
      </c>
      <c r="H42" s="50">
        <v>480</v>
      </c>
      <c r="I42" s="47">
        <v>5.6</v>
      </c>
      <c r="J42" s="49">
        <f t="shared" si="5"/>
        <v>0.30719999999999997</v>
      </c>
      <c r="K42" s="47">
        <v>62</v>
      </c>
      <c r="L42" s="47"/>
      <c r="M42" s="47" t="s">
        <v>55</v>
      </c>
      <c r="N42" s="47"/>
      <c r="O42" s="47"/>
      <c r="P42" s="47"/>
      <c r="Q42" s="50"/>
      <c r="R42" s="141"/>
    </row>
    <row r="43" spans="1:18" ht="12.75" customHeight="1">
      <c r="A43" s="199"/>
      <c r="B43" s="47" t="s">
        <v>478</v>
      </c>
      <c r="C43" s="48" t="s">
        <v>48</v>
      </c>
      <c r="D43" s="47" t="s">
        <v>18</v>
      </c>
      <c r="E43" s="52">
        <f>G43*I43*0.001</f>
        <v>4.8</v>
      </c>
      <c r="F43" s="52">
        <f>H43*I43*0.001</f>
        <v>3.6</v>
      </c>
      <c r="G43" s="50">
        <v>1280</v>
      </c>
      <c r="H43" s="50">
        <v>960</v>
      </c>
      <c r="I43" s="47">
        <v>3.75</v>
      </c>
      <c r="J43" s="49">
        <f t="shared" si="5"/>
        <v>1.2287999999999999</v>
      </c>
      <c r="K43" s="47">
        <v>23</v>
      </c>
      <c r="L43" s="47"/>
      <c r="M43" s="47" t="s">
        <v>55</v>
      </c>
      <c r="N43" s="47"/>
      <c r="O43" s="47"/>
      <c r="P43" s="47"/>
      <c r="Q43" s="50"/>
      <c r="R43" s="141"/>
    </row>
    <row r="44" spans="1:18">
      <c r="A44" s="203" t="s">
        <v>53</v>
      </c>
      <c r="B44" s="142" t="s">
        <v>54</v>
      </c>
      <c r="C44" s="48" t="s">
        <v>40</v>
      </c>
      <c r="D44" s="47" t="s">
        <v>18</v>
      </c>
      <c r="E44" s="52">
        <f>G44*I44*0.001</f>
        <v>4.7359999999999998</v>
      </c>
      <c r="F44" s="52">
        <f>H44*I44*0.001</f>
        <v>3.552</v>
      </c>
      <c r="G44" s="50">
        <v>640</v>
      </c>
      <c r="H44" s="50">
        <v>480</v>
      </c>
      <c r="I44" s="47">
        <v>7.4</v>
      </c>
      <c r="J44" s="49">
        <f t="shared" ref="J44:J114" si="6">0.000001*G44*H44</f>
        <v>0.30719999999999997</v>
      </c>
      <c r="K44" s="50">
        <v>60</v>
      </c>
      <c r="L44" s="47"/>
      <c r="M44" s="47" t="s">
        <v>55</v>
      </c>
      <c r="N44" s="47"/>
      <c r="O44" s="47"/>
      <c r="P44" s="47"/>
      <c r="Q44" s="50"/>
      <c r="R44" s="141"/>
    </row>
    <row r="45" spans="1:18">
      <c r="A45" s="203"/>
      <c r="B45" s="142" t="s">
        <v>56</v>
      </c>
      <c r="C45" s="48" t="s">
        <v>57</v>
      </c>
      <c r="D45" s="47" t="s">
        <v>18</v>
      </c>
      <c r="E45" s="52">
        <f>G45*I45*0.001</f>
        <v>6.4728000000000003</v>
      </c>
      <c r="F45" s="52">
        <f>H45*I45*0.001</f>
        <v>4.8360000000000003</v>
      </c>
      <c r="G45" s="50">
        <v>1392</v>
      </c>
      <c r="H45" s="50">
        <v>1040</v>
      </c>
      <c r="I45" s="47">
        <v>4.6500000000000004</v>
      </c>
      <c r="J45" s="49">
        <f t="shared" si="6"/>
        <v>1.4476800000000001</v>
      </c>
      <c r="K45" s="47">
        <v>15</v>
      </c>
      <c r="L45" s="47"/>
      <c r="M45" s="47" t="s">
        <v>55</v>
      </c>
      <c r="N45" s="47"/>
      <c r="O45" s="47"/>
      <c r="P45" s="47"/>
      <c r="Q45" s="50"/>
      <c r="R45" s="141"/>
    </row>
    <row r="46" spans="1:18">
      <c r="A46" s="203"/>
      <c r="B46" s="142" t="s">
        <v>58</v>
      </c>
      <c r="C46" s="48" t="s">
        <v>51</v>
      </c>
      <c r="D46" s="47" t="s">
        <v>18</v>
      </c>
      <c r="E46" s="52">
        <f>G46*I46*0.001</f>
        <v>7.1104000000000003</v>
      </c>
      <c r="F46" s="52">
        <f>H46*I46*0.001</f>
        <v>5.4208000000000007</v>
      </c>
      <c r="G46" s="50">
        <v>1616</v>
      </c>
      <c r="H46" s="50">
        <v>1232</v>
      </c>
      <c r="I46" s="47">
        <v>4.4000000000000004</v>
      </c>
      <c r="J46" s="49">
        <f t="shared" si="6"/>
        <v>1.990912</v>
      </c>
      <c r="K46" s="47">
        <v>12</v>
      </c>
      <c r="L46" s="47"/>
      <c r="M46" s="47" t="s">
        <v>55</v>
      </c>
      <c r="N46" s="47"/>
      <c r="O46" s="47"/>
      <c r="P46" s="47"/>
      <c r="Q46" s="50"/>
      <c r="R46" s="141"/>
    </row>
    <row r="47" spans="1:18">
      <c r="A47" s="203" t="s">
        <v>334</v>
      </c>
      <c r="B47" s="47" t="s">
        <v>359</v>
      </c>
      <c r="C47" s="48"/>
      <c r="D47" s="47" t="s">
        <v>18</v>
      </c>
      <c r="E47" s="49">
        <v>23.7</v>
      </c>
      <c r="F47" s="49">
        <v>15.6</v>
      </c>
      <c r="G47" s="50">
        <v>3008</v>
      </c>
      <c r="H47" s="50">
        <v>2000</v>
      </c>
      <c r="I47" s="49">
        <f t="shared" ref="I47:I69" si="7">ROUND(E47/G47*1000,1)</f>
        <v>7.9</v>
      </c>
      <c r="J47" s="49">
        <f t="shared" si="6"/>
        <v>6.016</v>
      </c>
      <c r="K47" s="47"/>
      <c r="L47" s="47"/>
      <c r="M47" s="47"/>
      <c r="N47" s="47"/>
      <c r="O47" s="47"/>
      <c r="P47" s="47"/>
      <c r="Q47" s="50"/>
      <c r="R47" s="47"/>
    </row>
    <row r="48" spans="1:18">
      <c r="A48" s="203"/>
      <c r="B48" s="47" t="s">
        <v>364</v>
      </c>
      <c r="C48" s="48"/>
      <c r="D48" s="47" t="s">
        <v>18</v>
      </c>
      <c r="E48" s="47">
        <v>23.7</v>
      </c>
      <c r="F48" s="49">
        <v>15.6</v>
      </c>
      <c r="G48" s="50">
        <v>3872</v>
      </c>
      <c r="H48" s="50">
        <v>2592</v>
      </c>
      <c r="I48" s="49">
        <f t="shared" si="7"/>
        <v>6.1</v>
      </c>
      <c r="J48" s="49">
        <f t="shared" si="6"/>
        <v>10.036224000000001</v>
      </c>
      <c r="K48" s="47"/>
      <c r="L48" s="47"/>
      <c r="M48" s="47"/>
      <c r="N48" s="47"/>
      <c r="O48" s="47"/>
      <c r="P48" s="47"/>
      <c r="Q48" s="50"/>
      <c r="R48" s="47"/>
    </row>
    <row r="49" spans="1:18">
      <c r="A49" s="203"/>
      <c r="B49" s="47" t="s">
        <v>360</v>
      </c>
      <c r="C49" s="48"/>
      <c r="D49" s="47" t="s">
        <v>18</v>
      </c>
      <c r="E49" s="47">
        <v>23.6</v>
      </c>
      <c r="F49" s="49">
        <v>15.8</v>
      </c>
      <c r="G49" s="50">
        <v>3872</v>
      </c>
      <c r="H49" s="50">
        <v>2592</v>
      </c>
      <c r="I49" s="49">
        <f t="shared" si="7"/>
        <v>6.1</v>
      </c>
      <c r="J49" s="49">
        <f t="shared" si="6"/>
        <v>10.036224000000001</v>
      </c>
      <c r="K49" s="47"/>
      <c r="L49" s="47"/>
      <c r="M49" s="47"/>
      <c r="N49" s="47"/>
      <c r="O49" s="47"/>
      <c r="P49" s="47"/>
      <c r="Q49" s="50"/>
      <c r="R49" s="47"/>
    </row>
    <row r="50" spans="1:18">
      <c r="A50" s="203"/>
      <c r="B50" s="47" t="s">
        <v>361</v>
      </c>
      <c r="C50" s="48"/>
      <c r="D50" s="47" t="s">
        <v>208</v>
      </c>
      <c r="E50" s="47">
        <v>23.1</v>
      </c>
      <c r="F50" s="49">
        <v>15.4</v>
      </c>
      <c r="G50" s="50">
        <v>4608</v>
      </c>
      <c r="H50" s="50">
        <v>3072</v>
      </c>
      <c r="I50" s="49">
        <f t="shared" si="7"/>
        <v>5</v>
      </c>
      <c r="J50" s="49">
        <f t="shared" si="6"/>
        <v>14.155775999999999</v>
      </c>
      <c r="K50" s="47"/>
      <c r="L50" s="47"/>
      <c r="M50" s="47"/>
      <c r="N50" s="47"/>
      <c r="O50" s="47"/>
      <c r="P50" s="47"/>
      <c r="Q50" s="50"/>
      <c r="R50" s="47"/>
    </row>
    <row r="51" spans="1:18">
      <c r="A51" s="203"/>
      <c r="B51" s="47" t="s">
        <v>362</v>
      </c>
      <c r="C51" s="48"/>
      <c r="D51" s="47" t="s">
        <v>18</v>
      </c>
      <c r="E51" s="49">
        <v>23.7</v>
      </c>
      <c r="F51" s="49">
        <v>15.6</v>
      </c>
      <c r="G51" s="50">
        <v>3008</v>
      </c>
      <c r="H51" s="50">
        <v>2000</v>
      </c>
      <c r="I51" s="49">
        <f t="shared" si="7"/>
        <v>7.9</v>
      </c>
      <c r="J51" s="49"/>
      <c r="K51" s="47"/>
      <c r="L51" s="47"/>
      <c r="M51" s="47"/>
      <c r="N51" s="47"/>
      <c r="O51" s="47"/>
      <c r="P51" s="47"/>
      <c r="Q51" s="50"/>
      <c r="R51" s="47"/>
    </row>
    <row r="52" spans="1:18">
      <c r="A52" s="203"/>
      <c r="B52" s="47" t="s">
        <v>363</v>
      </c>
      <c r="C52" s="48"/>
      <c r="D52" s="47" t="s">
        <v>18</v>
      </c>
      <c r="E52" s="49">
        <v>23.6</v>
      </c>
      <c r="F52" s="49">
        <v>15.8</v>
      </c>
      <c r="G52" s="50">
        <v>3872</v>
      </c>
      <c r="H52" s="50">
        <v>2592</v>
      </c>
      <c r="I52" s="49">
        <f t="shared" si="7"/>
        <v>6.1</v>
      </c>
      <c r="J52" s="49"/>
      <c r="K52" s="47"/>
      <c r="L52" s="47"/>
      <c r="M52" s="47"/>
      <c r="N52" s="47"/>
      <c r="O52" s="47"/>
      <c r="P52" s="47"/>
      <c r="Q52" s="50"/>
      <c r="R52" s="47"/>
    </row>
    <row r="53" spans="1:18">
      <c r="A53" s="203"/>
      <c r="B53" s="47" t="s">
        <v>365</v>
      </c>
      <c r="C53" s="48"/>
      <c r="D53" s="47" t="s">
        <v>208</v>
      </c>
      <c r="E53" s="49">
        <v>23.6</v>
      </c>
      <c r="F53" s="49">
        <v>15.8</v>
      </c>
      <c r="G53" s="50">
        <v>4288</v>
      </c>
      <c r="H53" s="50">
        <v>2848</v>
      </c>
      <c r="I53" s="49">
        <f t="shared" si="7"/>
        <v>5.5</v>
      </c>
      <c r="J53" s="49"/>
      <c r="K53" s="47"/>
      <c r="L53" s="47"/>
      <c r="M53" s="47"/>
      <c r="N53" s="47"/>
      <c r="O53" s="47"/>
      <c r="P53" s="47"/>
      <c r="Q53" s="50"/>
      <c r="R53" s="47"/>
    </row>
    <row r="54" spans="1:18">
      <c r="A54" s="203"/>
      <c r="B54" s="47" t="s">
        <v>366</v>
      </c>
      <c r="C54" s="48"/>
      <c r="D54" s="47" t="s">
        <v>208</v>
      </c>
      <c r="E54" s="49">
        <v>23.6</v>
      </c>
      <c r="F54" s="49">
        <v>15.6</v>
      </c>
      <c r="G54" s="50">
        <v>4928</v>
      </c>
      <c r="H54" s="50">
        <v>3264</v>
      </c>
      <c r="I54" s="49">
        <f t="shared" si="7"/>
        <v>4.8</v>
      </c>
      <c r="J54" s="49"/>
      <c r="K54" s="47"/>
      <c r="L54" s="47"/>
      <c r="M54" s="47"/>
      <c r="N54" s="47"/>
      <c r="O54" s="47"/>
      <c r="P54" s="47"/>
      <c r="Q54" s="50"/>
      <c r="R54" s="47"/>
    </row>
    <row r="55" spans="1:18">
      <c r="A55" s="203"/>
      <c r="B55" s="47" t="s">
        <v>383</v>
      </c>
      <c r="C55" s="48"/>
      <c r="D55" s="47" t="s">
        <v>18</v>
      </c>
      <c r="E55" s="49">
        <v>23.7</v>
      </c>
      <c r="F55" s="49">
        <v>15.6</v>
      </c>
      <c r="G55" s="50">
        <v>3008</v>
      </c>
      <c r="H55" s="50">
        <v>2000</v>
      </c>
      <c r="I55" s="49">
        <f t="shared" si="7"/>
        <v>7.9</v>
      </c>
      <c r="J55" s="49"/>
      <c r="K55" s="47"/>
      <c r="L55" s="47"/>
      <c r="M55" s="47"/>
      <c r="N55" s="47"/>
      <c r="O55" s="47"/>
      <c r="P55" s="47"/>
      <c r="Q55" s="50"/>
      <c r="R55" s="47"/>
    </row>
    <row r="56" spans="1:18">
      <c r="A56" s="203"/>
      <c r="B56" s="47" t="s">
        <v>367</v>
      </c>
      <c r="C56" s="48"/>
      <c r="D56" s="47" t="s">
        <v>18</v>
      </c>
      <c r="E56" s="49">
        <v>23.6</v>
      </c>
      <c r="F56" s="49">
        <v>15.8</v>
      </c>
      <c r="G56" s="50">
        <v>3872</v>
      </c>
      <c r="H56" s="50">
        <v>2592</v>
      </c>
      <c r="I56" s="49">
        <f t="shared" si="7"/>
        <v>6.1</v>
      </c>
      <c r="J56" s="49"/>
      <c r="K56" s="47"/>
      <c r="L56" s="47"/>
      <c r="M56" s="47"/>
      <c r="N56" s="47"/>
      <c r="O56" s="47"/>
      <c r="P56" s="47"/>
      <c r="Q56" s="50"/>
      <c r="R56" s="47"/>
    </row>
    <row r="57" spans="1:18">
      <c r="A57" s="203"/>
      <c r="B57" s="47" t="s">
        <v>368</v>
      </c>
      <c r="C57" s="48"/>
      <c r="D57" s="47" t="s">
        <v>208</v>
      </c>
      <c r="E57" s="49">
        <v>23.6</v>
      </c>
      <c r="F57" s="49">
        <v>15.8</v>
      </c>
      <c r="G57" s="50">
        <v>4928</v>
      </c>
      <c r="H57" s="50">
        <v>3264</v>
      </c>
      <c r="I57" s="49">
        <f t="shared" si="7"/>
        <v>4.8</v>
      </c>
      <c r="J57" s="49"/>
      <c r="K57" s="47"/>
      <c r="L57" s="47"/>
      <c r="M57" s="47"/>
      <c r="N57" s="47"/>
      <c r="O57" s="47"/>
      <c r="P57" s="47"/>
      <c r="Q57" s="50"/>
      <c r="R57" s="47"/>
    </row>
    <row r="58" spans="1:18">
      <c r="A58" s="203"/>
      <c r="B58" s="47" t="s">
        <v>369</v>
      </c>
      <c r="C58" s="48"/>
      <c r="D58" s="47" t="s">
        <v>208</v>
      </c>
      <c r="E58" s="49">
        <v>23.6</v>
      </c>
      <c r="F58" s="49">
        <v>15.6</v>
      </c>
      <c r="G58" s="50">
        <v>4928</v>
      </c>
      <c r="H58" s="50">
        <v>3264</v>
      </c>
      <c r="I58" s="49">
        <f t="shared" si="7"/>
        <v>4.8</v>
      </c>
      <c r="J58" s="49"/>
      <c r="K58" s="47"/>
      <c r="L58" s="47"/>
      <c r="M58" s="47"/>
      <c r="N58" s="47"/>
      <c r="O58" s="47"/>
      <c r="P58" s="47"/>
      <c r="Q58" s="50"/>
      <c r="R58" s="47"/>
    </row>
    <row r="59" spans="1:18">
      <c r="A59" s="203"/>
      <c r="B59" s="47" t="s">
        <v>370</v>
      </c>
      <c r="C59" s="48"/>
      <c r="D59" s="47" t="s">
        <v>18</v>
      </c>
      <c r="E59" s="49">
        <v>23.7</v>
      </c>
      <c r="F59" s="49">
        <v>15.6</v>
      </c>
      <c r="G59" s="50">
        <v>3008</v>
      </c>
      <c r="H59" s="50">
        <v>2000</v>
      </c>
      <c r="I59" s="49">
        <f t="shared" si="7"/>
        <v>7.9</v>
      </c>
      <c r="J59" s="49"/>
      <c r="K59" s="47"/>
      <c r="L59" s="47"/>
      <c r="M59" s="47"/>
      <c r="N59" s="47"/>
      <c r="O59" s="47"/>
      <c r="P59" s="47"/>
      <c r="Q59" s="50"/>
      <c r="R59" s="47"/>
    </row>
    <row r="60" spans="1:18">
      <c r="A60" s="203"/>
      <c r="B60" s="47" t="s">
        <v>371</v>
      </c>
      <c r="C60" s="48"/>
      <c r="D60" s="47" t="s">
        <v>18</v>
      </c>
      <c r="E60" s="49">
        <v>23.7</v>
      </c>
      <c r="F60" s="49">
        <v>15.6</v>
      </c>
      <c r="G60" s="50">
        <v>3872</v>
      </c>
      <c r="H60" s="50">
        <v>2592</v>
      </c>
      <c r="I60" s="49">
        <f t="shared" si="7"/>
        <v>6.1</v>
      </c>
      <c r="J60" s="49"/>
      <c r="K60" s="47"/>
      <c r="L60" s="47"/>
      <c r="M60" s="47"/>
      <c r="N60" s="47"/>
      <c r="O60" s="47"/>
      <c r="P60" s="47"/>
      <c r="Q60" s="50"/>
      <c r="R60" s="47"/>
    </row>
    <row r="61" spans="1:18">
      <c r="A61" s="203"/>
      <c r="B61" s="47" t="s">
        <v>382</v>
      </c>
      <c r="C61" s="48"/>
      <c r="D61" s="47" t="s">
        <v>208</v>
      </c>
      <c r="E61" s="49">
        <v>23.6</v>
      </c>
      <c r="F61" s="49">
        <v>15.8</v>
      </c>
      <c r="G61" s="50">
        <v>4288</v>
      </c>
      <c r="H61" s="50">
        <v>2848</v>
      </c>
      <c r="I61" s="49">
        <f t="shared" si="7"/>
        <v>5.5</v>
      </c>
      <c r="J61" s="49"/>
      <c r="K61" s="47"/>
      <c r="L61" s="47"/>
      <c r="M61" s="47"/>
      <c r="N61" s="47"/>
      <c r="O61" s="47"/>
      <c r="P61" s="47"/>
      <c r="Q61" s="50"/>
      <c r="R61" s="47"/>
    </row>
    <row r="62" spans="1:18">
      <c r="A62" s="203"/>
      <c r="B62" s="47" t="s">
        <v>372</v>
      </c>
      <c r="C62" s="48"/>
      <c r="D62" s="47" t="s">
        <v>208</v>
      </c>
      <c r="E62" s="49">
        <v>36</v>
      </c>
      <c r="F62" s="49">
        <v>23.9</v>
      </c>
      <c r="G62" s="50">
        <v>4256</v>
      </c>
      <c r="H62" s="50">
        <v>2832</v>
      </c>
      <c r="I62" s="49">
        <f t="shared" si="7"/>
        <v>8.5</v>
      </c>
      <c r="J62" s="49"/>
      <c r="K62" s="47"/>
      <c r="L62" s="47"/>
      <c r="M62" s="47"/>
      <c r="N62" s="47"/>
      <c r="O62" s="47"/>
      <c r="P62" s="47"/>
      <c r="Q62" s="50"/>
      <c r="R62" s="47"/>
    </row>
    <row r="63" spans="1:18">
      <c r="A63" s="203"/>
      <c r="B63" s="47" t="s">
        <v>373</v>
      </c>
      <c r="C63" s="48"/>
      <c r="D63" s="47" t="s">
        <v>18</v>
      </c>
      <c r="E63" s="49">
        <v>23.7</v>
      </c>
      <c r="F63" s="49">
        <v>15.6</v>
      </c>
      <c r="G63" s="50">
        <v>2000</v>
      </c>
      <c r="H63" s="50">
        <v>1312</v>
      </c>
      <c r="I63" s="49">
        <f t="shared" si="7"/>
        <v>11.9</v>
      </c>
      <c r="J63" s="49"/>
      <c r="K63" s="47"/>
      <c r="L63" s="47"/>
      <c r="M63" s="47"/>
      <c r="N63" s="47"/>
      <c r="O63" s="47"/>
      <c r="P63" s="47"/>
      <c r="Q63" s="50"/>
      <c r="R63" s="47"/>
    </row>
    <row r="64" spans="1:18">
      <c r="A64" s="203"/>
      <c r="B64" s="47" t="s">
        <v>377</v>
      </c>
      <c r="C64" s="48"/>
      <c r="D64" s="47" t="s">
        <v>380</v>
      </c>
      <c r="E64" s="49">
        <v>23.3</v>
      </c>
      <c r="F64" s="49">
        <v>15.5</v>
      </c>
      <c r="G64" s="50">
        <v>2464</v>
      </c>
      <c r="H64" s="50">
        <v>1632</v>
      </c>
      <c r="I64" s="49">
        <f t="shared" si="7"/>
        <v>9.5</v>
      </c>
      <c r="J64" s="49"/>
      <c r="K64" s="47"/>
      <c r="L64" s="47"/>
      <c r="M64" s="47"/>
      <c r="N64" s="47"/>
      <c r="O64" s="47"/>
      <c r="P64" s="47"/>
      <c r="Q64" s="50"/>
      <c r="R64" s="47"/>
    </row>
    <row r="65" spans="1:18">
      <c r="A65" s="203"/>
      <c r="B65" s="47" t="s">
        <v>381</v>
      </c>
      <c r="C65" s="48"/>
      <c r="D65" s="47" t="s">
        <v>208</v>
      </c>
      <c r="E65" s="49">
        <v>36</v>
      </c>
      <c r="F65" s="49">
        <v>23.9</v>
      </c>
      <c r="G65" s="50">
        <v>4256</v>
      </c>
      <c r="H65" s="50">
        <v>2832</v>
      </c>
      <c r="I65" s="49">
        <f t="shared" si="7"/>
        <v>8.5</v>
      </c>
      <c r="J65" s="49"/>
      <c r="K65" s="47"/>
      <c r="L65" s="47"/>
      <c r="M65" s="47"/>
      <c r="N65" s="47"/>
      <c r="O65" s="47"/>
      <c r="P65" s="47"/>
      <c r="Q65" s="50"/>
      <c r="R65" s="47"/>
    </row>
    <row r="66" spans="1:18">
      <c r="A66" s="203"/>
      <c r="B66" s="47" t="s">
        <v>374</v>
      </c>
      <c r="C66" s="48"/>
      <c r="D66" s="47" t="s">
        <v>18</v>
      </c>
      <c r="E66" s="49">
        <v>23.7</v>
      </c>
      <c r="F66" s="49">
        <v>15.6</v>
      </c>
      <c r="G66" s="50">
        <v>2000</v>
      </c>
      <c r="H66" s="50">
        <v>1312</v>
      </c>
      <c r="I66" s="49">
        <f t="shared" si="7"/>
        <v>11.9</v>
      </c>
      <c r="J66" s="49"/>
      <c r="K66" s="47"/>
      <c r="L66" s="47"/>
      <c r="M66" s="47"/>
      <c r="N66" s="47"/>
      <c r="O66" s="47"/>
      <c r="P66" s="47"/>
      <c r="Q66" s="50"/>
      <c r="R66" s="47"/>
    </row>
    <row r="67" spans="1:18">
      <c r="A67" s="203"/>
      <c r="B67" s="47" t="s">
        <v>375</v>
      </c>
      <c r="C67" s="48"/>
      <c r="D67" s="47" t="s">
        <v>18</v>
      </c>
      <c r="E67" s="49">
        <v>23.7</v>
      </c>
      <c r="F67" s="49">
        <v>15.6</v>
      </c>
      <c r="G67" s="50">
        <v>3008</v>
      </c>
      <c r="H67" s="50">
        <v>1960</v>
      </c>
      <c r="I67" s="49">
        <f t="shared" si="7"/>
        <v>7.9</v>
      </c>
      <c r="J67" s="49"/>
      <c r="K67" s="47"/>
      <c r="L67" s="47"/>
      <c r="M67" s="47"/>
      <c r="N67" s="47"/>
      <c r="O67" s="47"/>
      <c r="P67" s="47"/>
      <c r="Q67" s="50"/>
      <c r="R67" s="47"/>
    </row>
    <row r="68" spans="1:18">
      <c r="A68" s="203"/>
      <c r="B68" s="47" t="s">
        <v>379</v>
      </c>
      <c r="C68" s="48" t="s">
        <v>378</v>
      </c>
      <c r="D68" s="47" t="s">
        <v>208</v>
      </c>
      <c r="E68" s="49">
        <v>23.7</v>
      </c>
      <c r="F68" s="49">
        <v>15.7</v>
      </c>
      <c r="G68" s="50">
        <v>4288</v>
      </c>
      <c r="H68" s="50">
        <v>2848</v>
      </c>
      <c r="I68" s="49">
        <f t="shared" si="7"/>
        <v>5.5</v>
      </c>
      <c r="J68" s="49"/>
      <c r="K68" s="47"/>
      <c r="L68" s="47"/>
      <c r="M68" s="47"/>
      <c r="N68" s="47"/>
      <c r="O68" s="47"/>
      <c r="P68" s="47"/>
      <c r="Q68" s="50"/>
      <c r="R68" s="47"/>
    </row>
    <row r="69" spans="1:18">
      <c r="A69" s="203"/>
      <c r="B69" s="53" t="s">
        <v>376</v>
      </c>
      <c r="C69" s="48"/>
      <c r="D69" s="47" t="s">
        <v>208</v>
      </c>
      <c r="E69" s="49">
        <v>35.9</v>
      </c>
      <c r="F69" s="49">
        <v>24</v>
      </c>
      <c r="G69" s="50">
        <v>6048</v>
      </c>
      <c r="H69" s="50">
        <v>4032</v>
      </c>
      <c r="I69" s="49">
        <f t="shared" si="7"/>
        <v>5.9</v>
      </c>
      <c r="J69" s="49"/>
      <c r="K69" s="47"/>
      <c r="L69" s="47"/>
      <c r="M69" s="47"/>
      <c r="N69" s="47"/>
      <c r="O69" s="47"/>
      <c r="P69" s="47"/>
      <c r="Q69" s="50"/>
      <c r="R69" s="47"/>
    </row>
    <row r="70" spans="1:18">
      <c r="A70" s="204" t="s">
        <v>494</v>
      </c>
      <c r="B70" s="133" t="s">
        <v>495</v>
      </c>
      <c r="C70" s="151" t="s">
        <v>207</v>
      </c>
      <c r="D70" s="133" t="s">
        <v>208</v>
      </c>
      <c r="E70" s="152">
        <f t="shared" ref="E70" si="8">G70*$I70/1000</f>
        <v>7.1680000000000001</v>
      </c>
      <c r="F70" s="152">
        <f t="shared" ref="F70" si="9">H70*$I70/1000</f>
        <v>5.3760000000000003</v>
      </c>
      <c r="G70" s="153">
        <v>1280</v>
      </c>
      <c r="H70" s="153">
        <v>960</v>
      </c>
      <c r="I70" s="133">
        <v>5.6</v>
      </c>
      <c r="J70" s="154">
        <f t="shared" ref="J70" si="10">0.000001*G70*H70</f>
        <v>1.2287999999999999</v>
      </c>
      <c r="K70" s="133"/>
      <c r="L70" s="133"/>
      <c r="M70" s="133"/>
      <c r="N70" s="133"/>
      <c r="O70" s="133"/>
      <c r="P70" s="133"/>
      <c r="Q70" s="153"/>
      <c r="R70" s="133"/>
    </row>
    <row r="71" spans="1:18">
      <c r="A71" s="204"/>
      <c r="B71" s="133" t="s">
        <v>497</v>
      </c>
      <c r="C71" s="151" t="s">
        <v>492</v>
      </c>
      <c r="D71" s="133" t="s">
        <v>208</v>
      </c>
      <c r="E71" s="152">
        <f t="shared" ref="E71:E75" si="11">G71*$I71/1000</f>
        <v>11.251200000000001</v>
      </c>
      <c r="F71" s="152">
        <f t="shared" ref="F71:F75" si="12">H71*$I71/1000</f>
        <v>7.032</v>
      </c>
      <c r="G71" s="153">
        <v>1920</v>
      </c>
      <c r="H71" s="153">
        <v>1200</v>
      </c>
      <c r="I71" s="133">
        <v>5.86</v>
      </c>
      <c r="J71" s="154">
        <f t="shared" ref="J71:J75" si="13">0.000001*G71*H71</f>
        <v>2.3039999999999998</v>
      </c>
      <c r="K71" s="133"/>
      <c r="L71" s="133"/>
      <c r="M71" s="133">
        <v>12</v>
      </c>
      <c r="N71" s="133"/>
      <c r="O71" s="133"/>
      <c r="P71" s="133"/>
      <c r="Q71" s="153" t="s">
        <v>501</v>
      </c>
      <c r="R71" s="133"/>
    </row>
    <row r="72" spans="1:18">
      <c r="A72" s="204"/>
      <c r="B72" s="133" t="s">
        <v>498</v>
      </c>
      <c r="C72" s="151" t="s">
        <v>490</v>
      </c>
      <c r="D72" s="133" t="s">
        <v>208</v>
      </c>
      <c r="E72" s="152">
        <f t="shared" si="11"/>
        <v>7.3727999999999989</v>
      </c>
      <c r="F72" s="152">
        <f t="shared" si="12"/>
        <v>4.9151999999999996</v>
      </c>
      <c r="G72" s="153">
        <v>3072</v>
      </c>
      <c r="H72" s="153">
        <v>2048</v>
      </c>
      <c r="I72" s="133">
        <v>2.4</v>
      </c>
      <c r="J72" s="154">
        <f t="shared" si="13"/>
        <v>6.2914560000000002</v>
      </c>
      <c r="K72" s="133"/>
      <c r="L72" s="133"/>
      <c r="M72" s="133">
        <v>14</v>
      </c>
      <c r="N72" s="133"/>
      <c r="O72" s="133"/>
      <c r="P72" s="133"/>
      <c r="Q72" s="153" t="s">
        <v>502</v>
      </c>
      <c r="R72" s="133"/>
    </row>
    <row r="73" spans="1:18">
      <c r="A73" s="204"/>
      <c r="B73" s="133" t="s">
        <v>499</v>
      </c>
      <c r="C73" s="151" t="s">
        <v>508</v>
      </c>
      <c r="D73" s="133" t="s">
        <v>208</v>
      </c>
      <c r="E73" s="152">
        <f t="shared" si="11"/>
        <v>4.8</v>
      </c>
      <c r="F73" s="152">
        <f t="shared" si="12"/>
        <v>3.6</v>
      </c>
      <c r="G73" s="153">
        <v>1280</v>
      </c>
      <c r="H73" s="153">
        <v>960</v>
      </c>
      <c r="I73" s="133">
        <v>3.75</v>
      </c>
      <c r="J73" s="154">
        <f t="shared" si="13"/>
        <v>1.2287999999999999</v>
      </c>
      <c r="K73" s="133"/>
      <c r="L73" s="133"/>
      <c r="M73" s="133">
        <v>12</v>
      </c>
      <c r="N73" s="133"/>
      <c r="O73" s="133"/>
      <c r="P73" s="133"/>
      <c r="Q73" s="153" t="s">
        <v>503</v>
      </c>
      <c r="R73" s="133"/>
    </row>
    <row r="74" spans="1:18">
      <c r="A74" s="204"/>
      <c r="B74" s="133" t="s">
        <v>500</v>
      </c>
      <c r="C74" s="151" t="s">
        <v>509</v>
      </c>
      <c r="D74" s="133" t="s">
        <v>208</v>
      </c>
      <c r="E74" s="152">
        <f t="shared" si="11"/>
        <v>5.5679999999999996</v>
      </c>
      <c r="F74" s="152">
        <f t="shared" si="12"/>
        <v>3.1320000000000001</v>
      </c>
      <c r="G74" s="153">
        <v>1920</v>
      </c>
      <c r="H74" s="153">
        <v>1080</v>
      </c>
      <c r="I74" s="133">
        <v>2.9</v>
      </c>
      <c r="J74" s="154">
        <f t="shared" si="13"/>
        <v>2.0735999999999999</v>
      </c>
      <c r="K74" s="133"/>
      <c r="L74" s="133"/>
      <c r="M74" s="133">
        <v>12</v>
      </c>
      <c r="N74" s="133"/>
      <c r="O74" s="133"/>
      <c r="P74" s="133"/>
      <c r="Q74" s="153" t="s">
        <v>502</v>
      </c>
      <c r="R74" s="133"/>
    </row>
    <row r="75" spans="1:18">
      <c r="A75" s="204"/>
      <c r="B75" s="133" t="s">
        <v>504</v>
      </c>
      <c r="C75" s="151" t="s">
        <v>510</v>
      </c>
      <c r="D75" s="133" t="s">
        <v>208</v>
      </c>
      <c r="E75" s="152">
        <f t="shared" si="11"/>
        <v>13.3056</v>
      </c>
      <c r="F75" s="152">
        <f t="shared" si="12"/>
        <v>8.8656000000000006</v>
      </c>
      <c r="G75" s="153">
        <v>5544</v>
      </c>
      <c r="H75" s="153">
        <v>3694</v>
      </c>
      <c r="I75" s="133">
        <v>2.4</v>
      </c>
      <c r="J75" s="154">
        <f t="shared" si="13"/>
        <v>20.479536</v>
      </c>
      <c r="K75" s="133">
        <v>15</v>
      </c>
      <c r="L75" s="133"/>
      <c r="M75" s="133">
        <v>12</v>
      </c>
      <c r="N75" s="133">
        <v>1</v>
      </c>
      <c r="O75" s="133"/>
      <c r="P75" s="133"/>
      <c r="Q75" s="153" t="s">
        <v>502</v>
      </c>
      <c r="R75" s="133"/>
    </row>
    <row r="76" spans="1:18">
      <c r="A76" s="204"/>
      <c r="B76" s="133" t="s">
        <v>505</v>
      </c>
      <c r="C76" s="151"/>
      <c r="D76" s="133" t="s">
        <v>208</v>
      </c>
      <c r="E76" s="152">
        <f t="shared" ref="E76:E78" si="14">G76*$I76/1000</f>
        <v>17.692799999999998</v>
      </c>
      <c r="F76" s="152">
        <f t="shared" ref="F76:F78" si="15">H76*$I76/1000</f>
        <v>13.383599999999998</v>
      </c>
      <c r="G76" s="153">
        <v>4656</v>
      </c>
      <c r="H76" s="153">
        <v>3522</v>
      </c>
      <c r="I76" s="133">
        <v>3.8</v>
      </c>
      <c r="J76" s="154">
        <f t="shared" ref="J76:J78" si="16">0.000001*G76*H76</f>
        <v>16.398432</v>
      </c>
      <c r="K76" s="133">
        <v>22.5</v>
      </c>
      <c r="L76" s="133"/>
      <c r="M76" s="133">
        <v>12</v>
      </c>
      <c r="N76" s="133">
        <v>1</v>
      </c>
      <c r="O76" s="133"/>
      <c r="P76" s="133"/>
      <c r="Q76" s="153" t="s">
        <v>511</v>
      </c>
      <c r="R76" s="133"/>
    </row>
    <row r="77" spans="1:18">
      <c r="A77" s="204"/>
      <c r="B77" s="133" t="s">
        <v>506</v>
      </c>
      <c r="C77" s="151"/>
      <c r="D77" s="133" t="s">
        <v>208</v>
      </c>
      <c r="E77" s="152">
        <f t="shared" si="14"/>
        <v>0</v>
      </c>
      <c r="F77" s="152">
        <f t="shared" si="15"/>
        <v>0</v>
      </c>
      <c r="G77" s="153"/>
      <c r="H77" s="153"/>
      <c r="I77" s="133">
        <v>4.88</v>
      </c>
      <c r="J77" s="154">
        <f t="shared" si="16"/>
        <v>0</v>
      </c>
      <c r="K77" s="133"/>
      <c r="L77" s="133"/>
      <c r="M77" s="133"/>
      <c r="N77" s="133"/>
      <c r="O77" s="133"/>
      <c r="P77" s="133"/>
      <c r="Q77" s="153"/>
      <c r="R77" s="133"/>
    </row>
    <row r="78" spans="1:18">
      <c r="A78" s="204"/>
      <c r="B78" s="133" t="s">
        <v>507</v>
      </c>
      <c r="C78" s="151"/>
      <c r="D78" s="133" t="s">
        <v>208</v>
      </c>
      <c r="E78" s="152">
        <f t="shared" si="14"/>
        <v>0</v>
      </c>
      <c r="F78" s="152">
        <f t="shared" si="15"/>
        <v>0</v>
      </c>
      <c r="G78" s="153"/>
      <c r="H78" s="153"/>
      <c r="I78" s="133">
        <v>3.91</v>
      </c>
      <c r="J78" s="154">
        <f t="shared" si="16"/>
        <v>0</v>
      </c>
      <c r="K78" s="133"/>
      <c r="L78" s="133"/>
      <c r="M78" s="133"/>
      <c r="N78" s="133"/>
      <c r="O78" s="133"/>
      <c r="P78" s="133"/>
      <c r="Q78" s="153"/>
      <c r="R78" s="133"/>
    </row>
    <row r="79" spans="1:18">
      <c r="A79" s="203" t="s">
        <v>59</v>
      </c>
      <c r="B79" s="62">
        <v>583</v>
      </c>
      <c r="C79" s="68" t="s">
        <v>25</v>
      </c>
      <c r="D79" s="67" t="s">
        <v>18</v>
      </c>
      <c r="E79" s="69">
        <f t="shared" ref="E79:E113" si="17">G79*I79*0.001</f>
        <v>17.960400000000003</v>
      </c>
      <c r="F79" s="69">
        <f t="shared" ref="F79:F113" si="18">H79*I79*0.001</f>
        <v>13.521600000000001</v>
      </c>
      <c r="G79" s="70">
        <v>3326</v>
      </c>
      <c r="H79" s="70">
        <v>2504</v>
      </c>
      <c r="I79" s="67">
        <v>5.4</v>
      </c>
      <c r="J79" s="71">
        <f t="shared" si="6"/>
        <v>8.3283039999999993</v>
      </c>
      <c r="K79" s="72"/>
      <c r="L79" s="67" t="s">
        <v>60</v>
      </c>
      <c r="M79" s="67">
        <v>16</v>
      </c>
      <c r="N79" s="67" t="s">
        <v>61</v>
      </c>
      <c r="O79" s="67" t="s">
        <v>62</v>
      </c>
      <c r="P79" s="67" t="s">
        <v>63</v>
      </c>
      <c r="Q79" s="70" t="s">
        <v>64</v>
      </c>
      <c r="R79" s="67" t="s">
        <v>38</v>
      </c>
    </row>
    <row r="80" spans="1:18">
      <c r="A80" s="203"/>
      <c r="B80" s="67">
        <v>540</v>
      </c>
      <c r="C80" s="63" t="s">
        <v>28</v>
      </c>
      <c r="D80" s="62" t="s">
        <v>18</v>
      </c>
      <c r="E80" s="64">
        <f t="shared" si="17"/>
        <v>15.155200000000001</v>
      </c>
      <c r="F80" s="64">
        <f t="shared" si="18"/>
        <v>15.155200000000001</v>
      </c>
      <c r="G80" s="65">
        <v>2048</v>
      </c>
      <c r="H80" s="65">
        <v>2048</v>
      </c>
      <c r="I80" s="62">
        <v>7.4</v>
      </c>
      <c r="J80" s="66">
        <f t="shared" si="6"/>
        <v>4.1943039999999998</v>
      </c>
      <c r="K80" s="62"/>
      <c r="L80" s="62" t="s">
        <v>65</v>
      </c>
      <c r="M80" s="62">
        <v>16</v>
      </c>
      <c r="N80" s="62" t="s">
        <v>66</v>
      </c>
      <c r="O80" s="62" t="s">
        <v>67</v>
      </c>
      <c r="P80" s="62" t="s">
        <v>68</v>
      </c>
      <c r="Q80" s="65" t="s">
        <v>31</v>
      </c>
      <c r="R80" s="67" t="s">
        <v>38</v>
      </c>
    </row>
    <row r="81" spans="1:18">
      <c r="A81" s="203"/>
      <c r="B81" s="62">
        <v>532</v>
      </c>
      <c r="C81" s="63" t="s">
        <v>69</v>
      </c>
      <c r="D81" s="62" t="s">
        <v>18</v>
      </c>
      <c r="E81" s="64">
        <f t="shared" si="17"/>
        <v>14.851199999999999</v>
      </c>
      <c r="F81" s="64">
        <f t="shared" si="18"/>
        <v>10.009600000000001</v>
      </c>
      <c r="G81" s="65">
        <v>2184</v>
      </c>
      <c r="H81" s="65">
        <v>1472</v>
      </c>
      <c r="I81" s="62">
        <v>6.8</v>
      </c>
      <c r="J81" s="66">
        <f t="shared" si="6"/>
        <v>3.2148479999999995</v>
      </c>
      <c r="K81" s="62"/>
      <c r="L81" s="62" t="s">
        <v>70</v>
      </c>
      <c r="M81" s="62">
        <v>16</v>
      </c>
      <c r="N81" s="62" t="s">
        <v>71</v>
      </c>
      <c r="O81" s="62" t="s">
        <v>72</v>
      </c>
      <c r="P81" s="62" t="s">
        <v>73</v>
      </c>
      <c r="Q81" s="65" t="s">
        <v>74</v>
      </c>
      <c r="R81" s="67" t="s">
        <v>38</v>
      </c>
    </row>
    <row r="82" spans="1:18">
      <c r="A82" s="203"/>
      <c r="B82" s="62">
        <v>520</v>
      </c>
      <c r="C82" s="63" t="s">
        <v>75</v>
      </c>
      <c r="D82" s="62" t="s">
        <v>18</v>
      </c>
      <c r="E82" s="64">
        <f t="shared" si="17"/>
        <v>11.84</v>
      </c>
      <c r="F82" s="64">
        <f t="shared" si="18"/>
        <v>8.8800000000000008</v>
      </c>
      <c r="G82" s="65">
        <v>1600</v>
      </c>
      <c r="H82" s="65">
        <v>1200</v>
      </c>
      <c r="I82" s="62">
        <v>7.4</v>
      </c>
      <c r="J82" s="66">
        <f t="shared" si="6"/>
        <v>1.92</v>
      </c>
      <c r="K82" s="62"/>
      <c r="L82" s="62" t="s">
        <v>65</v>
      </c>
      <c r="M82" s="62">
        <v>16</v>
      </c>
      <c r="N82" s="62" t="s">
        <v>66</v>
      </c>
      <c r="O82" s="62" t="s">
        <v>67</v>
      </c>
      <c r="P82" s="62" t="s">
        <v>76</v>
      </c>
      <c r="Q82" s="65" t="s">
        <v>77</v>
      </c>
      <c r="R82" s="67" t="s">
        <v>38</v>
      </c>
    </row>
    <row r="83" spans="1:18">
      <c r="A83" s="203"/>
      <c r="B83" s="62">
        <v>516</v>
      </c>
      <c r="C83" s="63" t="s">
        <v>78</v>
      </c>
      <c r="D83" s="62" t="s">
        <v>18</v>
      </c>
      <c r="E83" s="64">
        <f t="shared" si="17"/>
        <v>13.824</v>
      </c>
      <c r="F83" s="64">
        <f t="shared" si="18"/>
        <v>9.2160000000000011</v>
      </c>
      <c r="G83" s="65">
        <v>1536</v>
      </c>
      <c r="H83" s="65">
        <v>1024</v>
      </c>
      <c r="I83" s="62">
        <v>9</v>
      </c>
      <c r="J83" s="66">
        <f t="shared" si="6"/>
        <v>1.572864</v>
      </c>
      <c r="K83" s="62"/>
      <c r="L83" s="62" t="s">
        <v>79</v>
      </c>
      <c r="M83" s="62">
        <v>16</v>
      </c>
      <c r="N83" s="62" t="s">
        <v>80</v>
      </c>
      <c r="O83" s="62" t="s">
        <v>81</v>
      </c>
      <c r="P83" s="62" t="s">
        <v>82</v>
      </c>
      <c r="Q83" s="65" t="s">
        <v>83</v>
      </c>
      <c r="R83" s="67" t="s">
        <v>38</v>
      </c>
    </row>
    <row r="84" spans="1:18">
      <c r="A84" s="203"/>
      <c r="B84" s="73">
        <v>504</v>
      </c>
      <c r="C84" s="74" t="s">
        <v>84</v>
      </c>
      <c r="D84" s="73" t="s">
        <v>18</v>
      </c>
      <c r="E84" s="75">
        <f t="shared" si="17"/>
        <v>6.9119999999999999</v>
      </c>
      <c r="F84" s="75">
        <f t="shared" si="18"/>
        <v>4.6080000000000005</v>
      </c>
      <c r="G84" s="76">
        <v>768</v>
      </c>
      <c r="H84" s="76">
        <v>512</v>
      </c>
      <c r="I84" s="73">
        <v>9</v>
      </c>
      <c r="J84" s="77">
        <f t="shared" si="6"/>
        <v>0.39321600000000001</v>
      </c>
      <c r="K84" s="73"/>
      <c r="L84" s="73" t="s">
        <v>79</v>
      </c>
      <c r="M84" s="73">
        <v>16</v>
      </c>
      <c r="N84" s="73" t="s">
        <v>80</v>
      </c>
      <c r="O84" s="73" t="s">
        <v>81</v>
      </c>
      <c r="P84" s="73" t="s">
        <v>85</v>
      </c>
      <c r="Q84" s="76" t="s">
        <v>83</v>
      </c>
      <c r="R84" s="67" t="s">
        <v>38</v>
      </c>
    </row>
    <row r="85" spans="1:18">
      <c r="A85" s="203" t="s">
        <v>86</v>
      </c>
      <c r="B85" s="47" t="s">
        <v>87</v>
      </c>
      <c r="C85" s="48" t="s">
        <v>88</v>
      </c>
      <c r="D85" s="47" t="s">
        <v>18</v>
      </c>
      <c r="E85" s="52">
        <f t="shared" si="17"/>
        <v>6.8849999999999998</v>
      </c>
      <c r="F85" s="52">
        <f t="shared" si="18"/>
        <v>4.59</v>
      </c>
      <c r="G85" s="50">
        <v>765</v>
      </c>
      <c r="H85" s="50">
        <v>510</v>
      </c>
      <c r="I85" s="47">
        <v>9</v>
      </c>
      <c r="J85" s="49">
        <f t="shared" si="6"/>
        <v>0.39015</v>
      </c>
      <c r="K85" s="47"/>
      <c r="L85" s="47"/>
      <c r="M85" s="47">
        <v>16</v>
      </c>
      <c r="N85" s="47" t="s">
        <v>89</v>
      </c>
      <c r="O85" s="47" t="s">
        <v>90</v>
      </c>
      <c r="P85" s="47" t="s">
        <v>91</v>
      </c>
      <c r="Q85" s="50"/>
      <c r="R85" s="47" t="s">
        <v>384</v>
      </c>
    </row>
    <row r="86" spans="1:18">
      <c r="A86" s="203"/>
      <c r="B86" s="47" t="s">
        <v>92</v>
      </c>
      <c r="C86" s="48" t="s">
        <v>88</v>
      </c>
      <c r="D86" s="47" t="s">
        <v>18</v>
      </c>
      <c r="E86" s="52">
        <f t="shared" si="17"/>
        <v>6.8849999999999998</v>
      </c>
      <c r="F86" s="52">
        <f t="shared" si="18"/>
        <v>4.59</v>
      </c>
      <c r="G86" s="50">
        <v>765</v>
      </c>
      <c r="H86" s="50">
        <v>510</v>
      </c>
      <c r="I86" s="47">
        <v>9</v>
      </c>
      <c r="J86" s="49">
        <f t="shared" si="6"/>
        <v>0.39015</v>
      </c>
      <c r="K86" s="47"/>
      <c r="L86" s="47"/>
      <c r="M86" s="47">
        <v>16</v>
      </c>
      <c r="N86" s="47" t="s">
        <v>93</v>
      </c>
      <c r="O86" s="47" t="s">
        <v>90</v>
      </c>
      <c r="P86" s="47" t="s">
        <v>94</v>
      </c>
      <c r="Q86" s="50"/>
      <c r="R86" s="47" t="s">
        <v>384</v>
      </c>
    </row>
    <row r="87" spans="1:18">
      <c r="A87" s="203"/>
      <c r="B87" s="47" t="s">
        <v>95</v>
      </c>
      <c r="C87" s="48" t="s">
        <v>96</v>
      </c>
      <c r="D87" s="47" t="s">
        <v>18</v>
      </c>
      <c r="E87" s="52">
        <f t="shared" si="17"/>
        <v>13.77</v>
      </c>
      <c r="F87" s="52">
        <f t="shared" si="18"/>
        <v>9.18</v>
      </c>
      <c r="G87" s="50">
        <v>1530</v>
      </c>
      <c r="H87" s="50">
        <v>1020</v>
      </c>
      <c r="I87" s="47">
        <v>9</v>
      </c>
      <c r="J87" s="49">
        <f t="shared" si="6"/>
        <v>1.5606</v>
      </c>
      <c r="K87" s="47"/>
      <c r="L87" s="47"/>
      <c r="M87" s="47">
        <v>16</v>
      </c>
      <c r="N87" s="47" t="s">
        <v>80</v>
      </c>
      <c r="O87" s="47" t="s">
        <v>90</v>
      </c>
      <c r="P87" s="47" t="s">
        <v>97</v>
      </c>
      <c r="Q87" s="50"/>
      <c r="R87" s="47" t="s">
        <v>384</v>
      </c>
    </row>
    <row r="88" spans="1:18">
      <c r="A88" s="203"/>
      <c r="B88" s="47" t="s">
        <v>98</v>
      </c>
      <c r="C88" s="48" t="s">
        <v>99</v>
      </c>
      <c r="D88" s="47" t="s">
        <v>18</v>
      </c>
      <c r="E88" s="52">
        <f t="shared" si="17"/>
        <v>10.24</v>
      </c>
      <c r="F88" s="52">
        <f t="shared" si="18"/>
        <v>10.24</v>
      </c>
      <c r="G88" s="50">
        <v>512</v>
      </c>
      <c r="H88" s="50">
        <v>512</v>
      </c>
      <c r="I88" s="47">
        <v>20</v>
      </c>
      <c r="J88" s="49">
        <f t="shared" si="6"/>
        <v>0.26214399999999999</v>
      </c>
      <c r="K88" s="47"/>
      <c r="L88" s="47"/>
      <c r="M88" s="47">
        <v>16</v>
      </c>
      <c r="N88" s="47" t="s">
        <v>80</v>
      </c>
      <c r="O88" s="47" t="s">
        <v>100</v>
      </c>
      <c r="P88" s="47" t="s">
        <v>101</v>
      </c>
      <c r="Q88" s="50"/>
      <c r="R88" s="47" t="s">
        <v>384</v>
      </c>
    </row>
    <row r="89" spans="1:18">
      <c r="A89" s="203"/>
      <c r="B89" s="47" t="s">
        <v>102</v>
      </c>
      <c r="C89" s="48" t="s">
        <v>103</v>
      </c>
      <c r="D89" s="47" t="s">
        <v>18</v>
      </c>
      <c r="E89" s="52">
        <f t="shared" si="17"/>
        <v>14.851199999999999</v>
      </c>
      <c r="F89" s="52">
        <f t="shared" si="18"/>
        <v>10.009600000000001</v>
      </c>
      <c r="G89" s="50">
        <v>2184</v>
      </c>
      <c r="H89" s="50">
        <v>1472</v>
      </c>
      <c r="I89" s="47">
        <v>6.8</v>
      </c>
      <c r="J89" s="49">
        <f t="shared" si="6"/>
        <v>3.2148479999999995</v>
      </c>
      <c r="K89" s="47"/>
      <c r="L89" s="47"/>
      <c r="M89" s="47">
        <v>16</v>
      </c>
      <c r="N89" s="47" t="s">
        <v>104</v>
      </c>
      <c r="O89" s="47" t="s">
        <v>90</v>
      </c>
      <c r="P89" s="47" t="s">
        <v>105</v>
      </c>
      <c r="Q89" s="50"/>
      <c r="R89" s="47" t="s">
        <v>384</v>
      </c>
    </row>
    <row r="90" spans="1:18">
      <c r="A90" s="203"/>
      <c r="B90" s="47" t="s">
        <v>106</v>
      </c>
      <c r="C90" s="48" t="s">
        <v>96</v>
      </c>
      <c r="D90" s="47" t="s">
        <v>18</v>
      </c>
      <c r="E90" s="52">
        <f t="shared" si="17"/>
        <v>13.77</v>
      </c>
      <c r="F90" s="52">
        <f t="shared" si="18"/>
        <v>9.18</v>
      </c>
      <c r="G90" s="50">
        <v>1530</v>
      </c>
      <c r="H90" s="50">
        <v>1020</v>
      </c>
      <c r="I90" s="47">
        <v>9</v>
      </c>
      <c r="J90" s="49">
        <f t="shared" si="6"/>
        <v>1.5606</v>
      </c>
      <c r="K90" s="47"/>
      <c r="L90" s="47"/>
      <c r="M90" s="47">
        <v>16</v>
      </c>
      <c r="N90" s="47" t="s">
        <v>89</v>
      </c>
      <c r="O90" s="47" t="s">
        <v>90</v>
      </c>
      <c r="P90" s="47" t="s">
        <v>107</v>
      </c>
      <c r="Q90" s="50"/>
      <c r="R90" s="47" t="s">
        <v>384</v>
      </c>
    </row>
    <row r="91" spans="1:18">
      <c r="A91" s="203"/>
      <c r="B91" s="47" t="s">
        <v>108</v>
      </c>
      <c r="C91" s="48" t="s">
        <v>109</v>
      </c>
      <c r="D91" s="47" t="s">
        <v>18</v>
      </c>
      <c r="E91" s="52">
        <f t="shared" si="17"/>
        <v>11.84</v>
      </c>
      <c r="F91" s="52">
        <f t="shared" si="18"/>
        <v>8.8800000000000008</v>
      </c>
      <c r="G91" s="50">
        <v>1600</v>
      </c>
      <c r="H91" s="50">
        <v>1200</v>
      </c>
      <c r="I91" s="47">
        <v>7.4</v>
      </c>
      <c r="J91" s="49">
        <f t="shared" si="6"/>
        <v>1.92</v>
      </c>
      <c r="K91" s="47"/>
      <c r="L91" s="47"/>
      <c r="M91" s="47">
        <v>16</v>
      </c>
      <c r="N91" s="47" t="s">
        <v>110</v>
      </c>
      <c r="O91" s="47" t="s">
        <v>111</v>
      </c>
      <c r="P91" s="47" t="s">
        <v>112</v>
      </c>
      <c r="Q91" s="50"/>
      <c r="R91" s="47" t="s">
        <v>384</v>
      </c>
    </row>
    <row r="92" spans="1:18">
      <c r="A92" s="203"/>
      <c r="B92" s="47" t="s">
        <v>113</v>
      </c>
      <c r="C92" s="48" t="s">
        <v>103</v>
      </c>
      <c r="D92" s="47" t="s">
        <v>18</v>
      </c>
      <c r="E92" s="52">
        <f t="shared" si="17"/>
        <v>14.851199999999999</v>
      </c>
      <c r="F92" s="52">
        <f t="shared" si="18"/>
        <v>10.009600000000001</v>
      </c>
      <c r="G92" s="50">
        <v>2184</v>
      </c>
      <c r="H92" s="50">
        <v>1472</v>
      </c>
      <c r="I92" s="47">
        <v>6.8</v>
      </c>
      <c r="J92" s="49">
        <f t="shared" si="6"/>
        <v>3.2148479999999995</v>
      </c>
      <c r="K92" s="47"/>
      <c r="L92" s="47"/>
      <c r="M92" s="47">
        <v>16</v>
      </c>
      <c r="N92" s="47" t="s">
        <v>114</v>
      </c>
      <c r="O92" s="47" t="s">
        <v>90</v>
      </c>
      <c r="P92" s="47" t="s">
        <v>97</v>
      </c>
      <c r="Q92" s="50"/>
      <c r="R92" s="47" t="s">
        <v>384</v>
      </c>
    </row>
    <row r="93" spans="1:18">
      <c r="A93" s="203"/>
      <c r="B93" s="47" t="s">
        <v>115</v>
      </c>
      <c r="C93" s="48" t="s">
        <v>25</v>
      </c>
      <c r="D93" s="47" t="s">
        <v>18</v>
      </c>
      <c r="E93" s="52">
        <f t="shared" si="17"/>
        <v>17.960400000000003</v>
      </c>
      <c r="F93" s="52">
        <f t="shared" si="18"/>
        <v>13.521600000000001</v>
      </c>
      <c r="G93" s="50">
        <v>3326</v>
      </c>
      <c r="H93" s="50">
        <v>2504</v>
      </c>
      <c r="I93" s="47">
        <v>5.4</v>
      </c>
      <c r="J93" s="49">
        <f t="shared" si="6"/>
        <v>8.3283039999999993</v>
      </c>
      <c r="K93" s="47"/>
      <c r="L93" s="47"/>
      <c r="M93" s="47">
        <v>16</v>
      </c>
      <c r="N93" s="47" t="s">
        <v>116</v>
      </c>
      <c r="O93" s="47" t="s">
        <v>111</v>
      </c>
      <c r="P93" s="47" t="s">
        <v>117</v>
      </c>
      <c r="Q93" s="50"/>
      <c r="R93" s="47" t="s">
        <v>384</v>
      </c>
    </row>
    <row r="94" spans="1:18">
      <c r="A94" s="203"/>
      <c r="B94" s="47" t="s">
        <v>118</v>
      </c>
      <c r="C94" s="48" t="s">
        <v>119</v>
      </c>
      <c r="D94" s="47" t="s">
        <v>18</v>
      </c>
      <c r="E94" s="52">
        <f t="shared" si="17"/>
        <v>24.576000000000001</v>
      </c>
      <c r="F94" s="52">
        <f t="shared" si="18"/>
        <v>24.576000000000001</v>
      </c>
      <c r="G94" s="50">
        <v>1024</v>
      </c>
      <c r="H94" s="50">
        <v>1024</v>
      </c>
      <c r="I94" s="47">
        <v>24</v>
      </c>
      <c r="J94" s="49">
        <f t="shared" si="6"/>
        <v>1.048576</v>
      </c>
      <c r="K94" s="47"/>
      <c r="L94" s="47"/>
      <c r="M94" s="47">
        <v>16</v>
      </c>
      <c r="N94" s="47" t="s">
        <v>120</v>
      </c>
      <c r="O94" s="47" t="s">
        <v>121</v>
      </c>
      <c r="P94" s="47" t="s">
        <v>122</v>
      </c>
      <c r="Q94" s="50"/>
      <c r="R94" s="47" t="s">
        <v>385</v>
      </c>
    </row>
    <row r="95" spans="1:18">
      <c r="A95" s="203"/>
      <c r="B95" s="47" t="s">
        <v>123</v>
      </c>
      <c r="C95" s="48" t="s">
        <v>124</v>
      </c>
      <c r="D95" s="47" t="s">
        <v>18</v>
      </c>
      <c r="E95" s="52">
        <f t="shared" si="17"/>
        <v>36.072000000000003</v>
      </c>
      <c r="F95" s="52">
        <f t="shared" si="18"/>
        <v>24.048000000000002</v>
      </c>
      <c r="G95" s="50">
        <v>4008</v>
      </c>
      <c r="H95" s="50">
        <v>2672</v>
      </c>
      <c r="I95" s="47">
        <v>9</v>
      </c>
      <c r="J95" s="49">
        <f t="shared" si="6"/>
        <v>10.709375999999999</v>
      </c>
      <c r="K95" s="47"/>
      <c r="L95" s="47"/>
      <c r="M95" s="47">
        <v>16</v>
      </c>
      <c r="N95" s="47" t="s">
        <v>125</v>
      </c>
      <c r="O95" s="47" t="s">
        <v>126</v>
      </c>
      <c r="P95" s="47" t="s">
        <v>127</v>
      </c>
      <c r="Q95" s="50"/>
      <c r="R95" s="47" t="s">
        <v>385</v>
      </c>
    </row>
    <row r="96" spans="1:18">
      <c r="A96" s="203"/>
      <c r="B96" s="47" t="s">
        <v>128</v>
      </c>
      <c r="C96" s="48" t="s">
        <v>129</v>
      </c>
      <c r="D96" s="47" t="s">
        <v>18</v>
      </c>
      <c r="E96" s="52">
        <f t="shared" si="17"/>
        <v>15.155200000000001</v>
      </c>
      <c r="F96" s="52">
        <f t="shared" si="18"/>
        <v>15.155200000000001</v>
      </c>
      <c r="G96" s="50">
        <v>2048</v>
      </c>
      <c r="H96" s="50">
        <v>2048</v>
      </c>
      <c r="I96" s="47">
        <v>7.4</v>
      </c>
      <c r="J96" s="49">
        <f t="shared" si="6"/>
        <v>4.1943039999999998</v>
      </c>
      <c r="K96" s="47"/>
      <c r="L96" s="47"/>
      <c r="M96" s="47">
        <v>16</v>
      </c>
      <c r="N96" s="47" t="s">
        <v>110</v>
      </c>
      <c r="O96" s="47" t="s">
        <v>130</v>
      </c>
      <c r="P96" s="47" t="s">
        <v>131</v>
      </c>
      <c r="Q96" s="50"/>
      <c r="R96" s="47" t="s">
        <v>385</v>
      </c>
    </row>
    <row r="97" spans="1:18">
      <c r="A97" s="203"/>
      <c r="B97" s="47" t="s">
        <v>132</v>
      </c>
      <c r="C97" s="48" t="s">
        <v>133</v>
      </c>
      <c r="D97" s="47" t="s">
        <v>18</v>
      </c>
      <c r="E97" s="52">
        <f t="shared" si="17"/>
        <v>27.54</v>
      </c>
      <c r="F97" s="52">
        <f t="shared" si="18"/>
        <v>18.36</v>
      </c>
      <c r="G97" s="50">
        <v>3060</v>
      </c>
      <c r="H97" s="50">
        <v>2040</v>
      </c>
      <c r="I97" s="47">
        <v>9</v>
      </c>
      <c r="J97" s="49">
        <f t="shared" si="6"/>
        <v>6.2423999999999999</v>
      </c>
      <c r="K97" s="47"/>
      <c r="L97" s="47"/>
      <c r="M97" s="47">
        <v>16</v>
      </c>
      <c r="N97" s="47" t="s">
        <v>134</v>
      </c>
      <c r="O97" s="47" t="s">
        <v>111</v>
      </c>
      <c r="P97" s="47" t="s">
        <v>135</v>
      </c>
      <c r="Q97" s="50"/>
      <c r="R97" s="47" t="s">
        <v>385</v>
      </c>
    </row>
    <row r="98" spans="1:18">
      <c r="A98" s="203"/>
      <c r="B98" s="47" t="s">
        <v>136</v>
      </c>
      <c r="C98" s="48" t="s">
        <v>137</v>
      </c>
      <c r="D98" s="47" t="s">
        <v>18</v>
      </c>
      <c r="E98" s="52">
        <f t="shared" si="17"/>
        <v>36.864000000000004</v>
      </c>
      <c r="F98" s="52">
        <f t="shared" si="18"/>
        <v>36.864000000000004</v>
      </c>
      <c r="G98" s="50">
        <v>4096</v>
      </c>
      <c r="H98" s="50">
        <v>4096</v>
      </c>
      <c r="I98" s="47">
        <v>9</v>
      </c>
      <c r="J98" s="49">
        <f t="shared" si="6"/>
        <v>16.777215999999999</v>
      </c>
      <c r="K98" s="47"/>
      <c r="L98" s="47"/>
      <c r="M98" s="47">
        <v>16</v>
      </c>
      <c r="N98" s="47" t="s">
        <v>138</v>
      </c>
      <c r="O98" s="47" t="s">
        <v>139</v>
      </c>
      <c r="P98" s="47" t="s">
        <v>140</v>
      </c>
      <c r="Q98" s="50"/>
      <c r="R98" s="47" t="s">
        <v>386</v>
      </c>
    </row>
    <row r="99" spans="1:18">
      <c r="A99" s="203"/>
      <c r="B99" s="53" t="s">
        <v>141</v>
      </c>
      <c r="C99" s="54" t="s">
        <v>142</v>
      </c>
      <c r="D99" s="53" t="s">
        <v>18</v>
      </c>
      <c r="E99" s="55">
        <f t="shared" si="17"/>
        <v>4.8618000000000006</v>
      </c>
      <c r="F99" s="55">
        <f t="shared" si="18"/>
        <v>3.6630000000000003</v>
      </c>
      <c r="G99" s="56">
        <v>657</v>
      </c>
      <c r="H99" s="56">
        <v>495</v>
      </c>
      <c r="I99" s="53">
        <v>7.4</v>
      </c>
      <c r="J99" s="57">
        <f t="shared" si="6"/>
        <v>0.32521499999999998</v>
      </c>
      <c r="K99" s="53"/>
      <c r="L99" s="53"/>
      <c r="M99" s="53">
        <v>16</v>
      </c>
      <c r="N99" s="53" t="s">
        <v>80</v>
      </c>
      <c r="O99" s="53" t="s">
        <v>143</v>
      </c>
      <c r="P99" s="53" t="s">
        <v>101</v>
      </c>
      <c r="Q99" s="56"/>
      <c r="R99" s="53"/>
    </row>
    <row r="100" spans="1:18">
      <c r="A100" s="203" t="s">
        <v>144</v>
      </c>
      <c r="B100" s="78" t="s">
        <v>145</v>
      </c>
      <c r="C100" s="79" t="s">
        <v>146</v>
      </c>
      <c r="D100" s="78" t="s">
        <v>18</v>
      </c>
      <c r="E100" s="80">
        <f t="shared" si="17"/>
        <v>13.77</v>
      </c>
      <c r="F100" s="80">
        <f t="shared" si="18"/>
        <v>9.18</v>
      </c>
      <c r="G100" s="81">
        <v>1530</v>
      </c>
      <c r="H100" s="81">
        <v>1020</v>
      </c>
      <c r="I100" s="78">
        <v>9</v>
      </c>
      <c r="J100" s="82">
        <f t="shared" si="6"/>
        <v>1.5606</v>
      </c>
      <c r="K100" s="78"/>
      <c r="L100" s="78"/>
      <c r="M100" s="78">
        <v>16</v>
      </c>
      <c r="N100" s="78" t="s">
        <v>147</v>
      </c>
      <c r="O100" s="78" t="s">
        <v>148</v>
      </c>
      <c r="P100" s="78" t="s">
        <v>149</v>
      </c>
      <c r="Q100" s="81" t="s">
        <v>83</v>
      </c>
      <c r="R100" s="78"/>
    </row>
    <row r="101" spans="1:18">
      <c r="A101" s="203"/>
      <c r="B101" s="78" t="s">
        <v>150</v>
      </c>
      <c r="C101" s="79" t="s">
        <v>151</v>
      </c>
      <c r="D101" s="78" t="s">
        <v>18</v>
      </c>
      <c r="E101" s="80">
        <f t="shared" si="17"/>
        <v>14.851199999999999</v>
      </c>
      <c r="F101" s="80">
        <f t="shared" si="18"/>
        <v>10.009600000000001</v>
      </c>
      <c r="G101" s="81">
        <v>2184</v>
      </c>
      <c r="H101" s="81">
        <v>1472</v>
      </c>
      <c r="I101" s="78">
        <v>6.8</v>
      </c>
      <c r="J101" s="82">
        <f t="shared" si="6"/>
        <v>3.2148479999999995</v>
      </c>
      <c r="K101" s="78"/>
      <c r="L101" s="78"/>
      <c r="M101" s="78">
        <v>16</v>
      </c>
      <c r="N101" s="78" t="s">
        <v>61</v>
      </c>
      <c r="O101" s="78" t="s">
        <v>152</v>
      </c>
      <c r="P101" s="78" t="s">
        <v>153</v>
      </c>
      <c r="Q101" s="81" t="s">
        <v>74</v>
      </c>
      <c r="R101" s="78"/>
    </row>
    <row r="102" spans="1:18">
      <c r="A102" s="203"/>
      <c r="B102" s="78" t="s">
        <v>154</v>
      </c>
      <c r="C102" s="79" t="s">
        <v>155</v>
      </c>
      <c r="D102" s="78" t="s">
        <v>18</v>
      </c>
      <c r="E102" s="80">
        <f t="shared" si="17"/>
        <v>27.648</v>
      </c>
      <c r="F102" s="80">
        <f t="shared" si="18"/>
        <v>18.432000000000002</v>
      </c>
      <c r="G102" s="81">
        <v>3072</v>
      </c>
      <c r="H102" s="81">
        <v>2048</v>
      </c>
      <c r="I102" s="78">
        <v>9</v>
      </c>
      <c r="J102" s="82">
        <f t="shared" si="6"/>
        <v>6.2914560000000002</v>
      </c>
      <c r="K102" s="78"/>
      <c r="L102" s="78"/>
      <c r="M102" s="78">
        <v>16</v>
      </c>
      <c r="N102" s="78" t="s">
        <v>147</v>
      </c>
      <c r="O102" s="78" t="s">
        <v>156</v>
      </c>
      <c r="P102" s="78" t="s">
        <v>157</v>
      </c>
      <c r="Q102" s="81" t="s">
        <v>83</v>
      </c>
      <c r="R102" s="78"/>
    </row>
    <row r="103" spans="1:18">
      <c r="A103" s="203"/>
      <c r="B103" s="78" t="s">
        <v>158</v>
      </c>
      <c r="C103" s="79" t="s">
        <v>159</v>
      </c>
      <c r="D103" s="78" t="s">
        <v>18</v>
      </c>
      <c r="E103" s="80">
        <f t="shared" si="17"/>
        <v>11.84</v>
      </c>
      <c r="F103" s="80">
        <f t="shared" si="18"/>
        <v>8.8800000000000008</v>
      </c>
      <c r="G103" s="81">
        <v>1600</v>
      </c>
      <c r="H103" s="81">
        <v>1200</v>
      </c>
      <c r="I103" s="78">
        <v>7.4</v>
      </c>
      <c r="J103" s="82">
        <f t="shared" si="6"/>
        <v>1.92</v>
      </c>
      <c r="K103" s="78"/>
      <c r="L103" s="78"/>
      <c r="M103" s="78">
        <v>16</v>
      </c>
      <c r="N103" s="78"/>
      <c r="O103" s="78" t="s">
        <v>67</v>
      </c>
      <c r="P103" s="78"/>
      <c r="Q103" s="81" t="s">
        <v>31</v>
      </c>
      <c r="R103" s="78"/>
    </row>
    <row r="104" spans="1:18">
      <c r="A104" s="203"/>
      <c r="B104" s="78" t="s">
        <v>160</v>
      </c>
      <c r="C104" s="79" t="s">
        <v>161</v>
      </c>
      <c r="D104" s="78" t="s">
        <v>18</v>
      </c>
      <c r="E104" s="80">
        <f t="shared" si="17"/>
        <v>15.155200000000001</v>
      </c>
      <c r="F104" s="80">
        <f t="shared" si="18"/>
        <v>15.155200000000001</v>
      </c>
      <c r="G104" s="81">
        <v>2048</v>
      </c>
      <c r="H104" s="81">
        <v>2048</v>
      </c>
      <c r="I104" s="78">
        <v>7.4</v>
      </c>
      <c r="J104" s="82">
        <f t="shared" si="6"/>
        <v>4.1943039999999998</v>
      </c>
      <c r="K104" s="78"/>
      <c r="L104" s="78"/>
      <c r="M104" s="78">
        <v>16</v>
      </c>
      <c r="N104" s="78"/>
      <c r="O104" s="78" t="s">
        <v>67</v>
      </c>
      <c r="P104" s="78"/>
      <c r="Q104" s="81" t="s">
        <v>31</v>
      </c>
      <c r="R104" s="78"/>
    </row>
    <row r="105" spans="1:18">
      <c r="A105" s="203"/>
      <c r="B105" s="83" t="s">
        <v>162</v>
      </c>
      <c r="C105" s="84" t="s">
        <v>163</v>
      </c>
      <c r="D105" s="83" t="s">
        <v>18</v>
      </c>
      <c r="E105" s="85">
        <f t="shared" si="17"/>
        <v>17.960400000000003</v>
      </c>
      <c r="F105" s="85">
        <f t="shared" si="18"/>
        <v>13.521600000000001</v>
      </c>
      <c r="G105" s="86">
        <v>3326</v>
      </c>
      <c r="H105" s="86">
        <v>2504</v>
      </c>
      <c r="I105" s="83">
        <v>5.4</v>
      </c>
      <c r="J105" s="87">
        <f t="shared" si="6"/>
        <v>8.3283039999999993</v>
      </c>
      <c r="K105" s="83"/>
      <c r="L105" s="83"/>
      <c r="M105" s="83">
        <v>16</v>
      </c>
      <c r="N105" s="83" t="s">
        <v>138</v>
      </c>
      <c r="O105" s="83" t="s">
        <v>164</v>
      </c>
      <c r="P105" s="83" t="s">
        <v>165</v>
      </c>
      <c r="Q105" s="86" t="s">
        <v>166</v>
      </c>
      <c r="R105" s="83"/>
    </row>
    <row r="106" spans="1:18">
      <c r="A106" s="204" t="s">
        <v>378</v>
      </c>
      <c r="B106" s="133" t="s">
        <v>512</v>
      </c>
      <c r="C106" s="151"/>
      <c r="D106" s="133" t="s">
        <v>208</v>
      </c>
      <c r="E106" s="85">
        <f t="shared" ref="E106" si="19">G106*I106*0.001</f>
        <v>35.616</v>
      </c>
      <c r="F106" s="85">
        <f t="shared" ref="F106" si="20">H106*I106*0.001</f>
        <v>23.788799999999998</v>
      </c>
      <c r="G106" s="86">
        <v>4240</v>
      </c>
      <c r="H106" s="86">
        <v>2832</v>
      </c>
      <c r="I106" s="83">
        <v>8.4</v>
      </c>
      <c r="J106" s="87">
        <f t="shared" ref="J106" si="21">0.000001*G106*H106</f>
        <v>12.007679999999999</v>
      </c>
      <c r="K106" s="133"/>
      <c r="L106" s="133"/>
      <c r="M106" s="133">
        <v>14</v>
      </c>
      <c r="N106" s="133" t="s">
        <v>515</v>
      </c>
      <c r="O106" s="133"/>
      <c r="P106" s="133"/>
      <c r="Q106" s="153"/>
      <c r="R106" s="133"/>
    </row>
    <row r="107" spans="1:18">
      <c r="A107" s="204"/>
      <c r="B107" s="133"/>
      <c r="C107" s="151"/>
      <c r="D107" s="133" t="s">
        <v>208</v>
      </c>
      <c r="E107" s="85">
        <f t="shared" ref="E107" si="22">G107*I107*0.001</f>
        <v>0</v>
      </c>
      <c r="F107" s="85">
        <f t="shared" ref="F107" si="23">H107*I107*0.001</f>
        <v>0</v>
      </c>
      <c r="G107" s="86"/>
      <c r="H107" s="86"/>
      <c r="I107" s="83"/>
      <c r="J107" s="87">
        <f t="shared" ref="J107" si="24">0.000001*G107*H107</f>
        <v>0</v>
      </c>
      <c r="K107" s="133"/>
      <c r="L107" s="133"/>
      <c r="M107" s="133"/>
      <c r="N107" s="133"/>
      <c r="O107" s="133"/>
      <c r="P107" s="133"/>
      <c r="Q107" s="153"/>
      <c r="R107" s="133"/>
    </row>
    <row r="108" spans="1:18">
      <c r="A108" s="203" t="s">
        <v>167</v>
      </c>
      <c r="B108" s="62" t="s">
        <v>168</v>
      </c>
      <c r="C108" s="63" t="s">
        <v>40</v>
      </c>
      <c r="D108" s="62" t="s">
        <v>18</v>
      </c>
      <c r="E108" s="64">
        <f t="shared" si="17"/>
        <v>4.8840000000000003</v>
      </c>
      <c r="F108" s="64">
        <f t="shared" si="18"/>
        <v>3.6556000000000006</v>
      </c>
      <c r="G108" s="65">
        <v>660</v>
      </c>
      <c r="H108" s="65">
        <v>494</v>
      </c>
      <c r="I108" s="62">
        <v>7.4</v>
      </c>
      <c r="J108" s="66">
        <f t="shared" si="6"/>
        <v>0.32604</v>
      </c>
      <c r="K108" s="65"/>
      <c r="L108" s="62"/>
      <c r="M108" s="62">
        <v>16</v>
      </c>
      <c r="N108" s="62" t="s">
        <v>169</v>
      </c>
      <c r="O108" s="62" t="s">
        <v>170</v>
      </c>
      <c r="P108" s="62" t="s">
        <v>171</v>
      </c>
      <c r="Q108" s="65" t="s">
        <v>172</v>
      </c>
      <c r="R108" s="62" t="s">
        <v>521</v>
      </c>
    </row>
    <row r="109" spans="1:18">
      <c r="A109" s="203"/>
      <c r="B109" s="62" t="s">
        <v>173</v>
      </c>
      <c r="C109" s="63" t="s">
        <v>17</v>
      </c>
      <c r="D109" s="62" t="s">
        <v>18</v>
      </c>
      <c r="E109" s="64">
        <f t="shared" si="17"/>
        <v>8.9784000000000006</v>
      </c>
      <c r="F109" s="64">
        <f t="shared" si="18"/>
        <v>6.7080000000000002</v>
      </c>
      <c r="G109" s="65">
        <v>1392</v>
      </c>
      <c r="H109" s="65">
        <v>1040</v>
      </c>
      <c r="I109" s="62">
        <v>6.45</v>
      </c>
      <c r="J109" s="66">
        <f t="shared" si="6"/>
        <v>1.4476800000000001</v>
      </c>
      <c r="K109" s="62"/>
      <c r="L109" s="62"/>
      <c r="M109" s="62">
        <v>16</v>
      </c>
      <c r="N109" s="62" t="s">
        <v>174</v>
      </c>
      <c r="O109" s="62" t="s">
        <v>170</v>
      </c>
      <c r="P109" s="62" t="s">
        <v>175</v>
      </c>
      <c r="Q109" s="65" t="s">
        <v>176</v>
      </c>
      <c r="R109" s="62" t="s">
        <v>521</v>
      </c>
    </row>
    <row r="110" spans="1:18">
      <c r="A110" s="203"/>
      <c r="B110" s="62" t="s">
        <v>177</v>
      </c>
      <c r="C110" s="63" t="s">
        <v>178</v>
      </c>
      <c r="D110" s="62" t="s">
        <v>18</v>
      </c>
      <c r="E110" s="64">
        <f t="shared" si="17"/>
        <v>15.155200000000001</v>
      </c>
      <c r="F110" s="64">
        <f t="shared" si="18"/>
        <v>15.155200000000001</v>
      </c>
      <c r="G110" s="65">
        <v>2048</v>
      </c>
      <c r="H110" s="65">
        <v>2048</v>
      </c>
      <c r="I110" s="62">
        <v>7.4</v>
      </c>
      <c r="J110" s="66">
        <f t="shared" si="6"/>
        <v>4.1943039999999998</v>
      </c>
      <c r="K110" s="62"/>
      <c r="L110" s="62"/>
      <c r="M110" s="62">
        <v>16</v>
      </c>
      <c r="N110" s="62" t="s">
        <v>179</v>
      </c>
      <c r="O110" s="62" t="s">
        <v>180</v>
      </c>
      <c r="P110" s="62" t="s">
        <v>181</v>
      </c>
      <c r="Q110" s="65" t="s">
        <v>31</v>
      </c>
      <c r="R110" s="62" t="s">
        <v>27</v>
      </c>
    </row>
    <row r="111" spans="1:18">
      <c r="A111" s="203"/>
      <c r="B111" s="62" t="s">
        <v>182</v>
      </c>
      <c r="C111" s="63" t="s">
        <v>25</v>
      </c>
      <c r="D111" s="62" t="s">
        <v>18</v>
      </c>
      <c r="E111" s="64">
        <f t="shared" si="17"/>
        <v>17.960400000000003</v>
      </c>
      <c r="F111" s="64">
        <f t="shared" si="18"/>
        <v>13.521600000000001</v>
      </c>
      <c r="G111" s="65">
        <v>3326</v>
      </c>
      <c r="H111" s="65">
        <v>2504</v>
      </c>
      <c r="I111" s="62">
        <v>5.4</v>
      </c>
      <c r="J111" s="66">
        <f t="shared" si="6"/>
        <v>8.3283039999999993</v>
      </c>
      <c r="K111" s="62"/>
      <c r="L111" s="62"/>
      <c r="M111" s="62">
        <v>16</v>
      </c>
      <c r="N111" s="62" t="s">
        <v>183</v>
      </c>
      <c r="O111" s="62" t="s">
        <v>180</v>
      </c>
      <c r="P111" s="62" t="s">
        <v>184</v>
      </c>
      <c r="Q111" s="65" t="s">
        <v>166</v>
      </c>
      <c r="R111" s="62" t="s">
        <v>27</v>
      </c>
    </row>
    <row r="112" spans="1:18">
      <c r="A112" s="203"/>
      <c r="B112" s="62" t="s">
        <v>185</v>
      </c>
      <c r="C112" s="63" t="s">
        <v>124</v>
      </c>
      <c r="D112" s="62" t="s">
        <v>18</v>
      </c>
      <c r="E112" s="64">
        <f t="shared" si="17"/>
        <v>36.072000000000003</v>
      </c>
      <c r="F112" s="64">
        <f t="shared" si="18"/>
        <v>24.048000000000002</v>
      </c>
      <c r="G112" s="65">
        <v>4008</v>
      </c>
      <c r="H112" s="65">
        <v>2672</v>
      </c>
      <c r="I112" s="62">
        <v>9</v>
      </c>
      <c r="J112" s="66">
        <f t="shared" si="6"/>
        <v>10.709375999999999</v>
      </c>
      <c r="K112" s="62"/>
      <c r="L112" s="62"/>
      <c r="M112" s="62">
        <v>16</v>
      </c>
      <c r="N112" s="62" t="s">
        <v>186</v>
      </c>
      <c r="O112" s="62" t="s">
        <v>187</v>
      </c>
      <c r="P112" s="62" t="s">
        <v>188</v>
      </c>
      <c r="Q112" s="65" t="s">
        <v>189</v>
      </c>
      <c r="R112" s="62" t="s">
        <v>27</v>
      </c>
    </row>
    <row r="113" spans="1:18">
      <c r="A113" s="203"/>
      <c r="B113" s="62" t="s">
        <v>190</v>
      </c>
      <c r="C113" s="63" t="s">
        <v>191</v>
      </c>
      <c r="D113" s="62" t="s">
        <v>18</v>
      </c>
      <c r="E113" s="64">
        <f t="shared" si="17"/>
        <v>36.2896</v>
      </c>
      <c r="F113" s="64">
        <f t="shared" si="18"/>
        <v>24.272000000000002</v>
      </c>
      <c r="G113" s="65">
        <v>4904</v>
      </c>
      <c r="H113" s="65">
        <v>3280</v>
      </c>
      <c r="I113" s="62">
        <v>7.4</v>
      </c>
      <c r="J113" s="66">
        <f t="shared" si="6"/>
        <v>16.08512</v>
      </c>
      <c r="K113" s="62"/>
      <c r="L113" s="62"/>
      <c r="M113" s="62">
        <v>16</v>
      </c>
      <c r="N113" s="62" t="s">
        <v>192</v>
      </c>
      <c r="O113" s="62" t="s">
        <v>180</v>
      </c>
      <c r="P113" s="62" t="s">
        <v>131</v>
      </c>
      <c r="Q113" s="65" t="s">
        <v>172</v>
      </c>
      <c r="R113" s="62" t="s">
        <v>27</v>
      </c>
    </row>
    <row r="114" spans="1:18">
      <c r="A114" s="203"/>
      <c r="B114" s="73" t="s">
        <v>193</v>
      </c>
      <c r="C114" s="74" t="s">
        <v>194</v>
      </c>
      <c r="D114" s="73" t="s">
        <v>18</v>
      </c>
      <c r="E114" s="75">
        <f>G114*0.0082</f>
        <v>6.1664000000000003</v>
      </c>
      <c r="F114" s="75">
        <f>H114*0.0084</f>
        <v>4.8719999999999999</v>
      </c>
      <c r="G114" s="76">
        <v>752</v>
      </c>
      <c r="H114" s="76">
        <v>580</v>
      </c>
      <c r="I114" s="73" t="s">
        <v>195</v>
      </c>
      <c r="J114" s="77">
        <f t="shared" si="6"/>
        <v>0.43615999999999999</v>
      </c>
      <c r="K114" s="73"/>
      <c r="L114" s="73"/>
      <c r="M114" s="73">
        <v>16</v>
      </c>
      <c r="N114" s="73" t="s">
        <v>186</v>
      </c>
      <c r="O114" s="73" t="s">
        <v>196</v>
      </c>
      <c r="P114" s="73" t="s">
        <v>197</v>
      </c>
      <c r="Q114" s="76" t="s">
        <v>189</v>
      </c>
      <c r="R114" s="73"/>
    </row>
    <row r="115" spans="1:18">
      <c r="A115" s="203" t="s">
        <v>198</v>
      </c>
      <c r="B115" s="47" t="s">
        <v>199</v>
      </c>
      <c r="C115" s="48" t="s">
        <v>200</v>
      </c>
      <c r="D115" s="47" t="s">
        <v>18</v>
      </c>
      <c r="E115" s="52">
        <f>G115*I115*0.001</f>
        <v>3.5840000000000001</v>
      </c>
      <c r="F115" s="52">
        <f>H115*I115*0.001</f>
        <v>2.6880000000000002</v>
      </c>
      <c r="G115" s="50">
        <v>640</v>
      </c>
      <c r="H115" s="50">
        <v>480</v>
      </c>
      <c r="I115" s="47">
        <v>5.6</v>
      </c>
      <c r="J115" s="49">
        <f t="shared" ref="J115:J130" si="25">0.000001*G115*H115</f>
        <v>0.30719999999999997</v>
      </c>
      <c r="K115" s="47">
        <v>60</v>
      </c>
      <c r="L115" s="47"/>
      <c r="M115" s="47">
        <v>8</v>
      </c>
      <c r="N115" s="47"/>
      <c r="O115" s="47"/>
      <c r="P115" s="47"/>
      <c r="Q115" s="50"/>
      <c r="R115" s="47"/>
    </row>
    <row r="116" spans="1:18" ht="12.75" customHeight="1">
      <c r="A116" s="203"/>
      <c r="B116" s="47" t="s">
        <v>201</v>
      </c>
      <c r="C116" s="48" t="s">
        <v>202</v>
      </c>
      <c r="D116" s="47" t="s">
        <v>18</v>
      </c>
      <c r="E116" s="52">
        <f>G116*I116*0.001</f>
        <v>4.7616000000000005</v>
      </c>
      <c r="F116" s="52">
        <f>H116*I116*0.001</f>
        <v>3.5712000000000002</v>
      </c>
      <c r="G116" s="50">
        <v>1024</v>
      </c>
      <c r="H116" s="50">
        <v>768</v>
      </c>
      <c r="I116" s="47">
        <v>4.6500000000000004</v>
      </c>
      <c r="J116" s="49">
        <f t="shared" si="25"/>
        <v>0.78643200000000002</v>
      </c>
      <c r="K116" s="47">
        <v>30</v>
      </c>
      <c r="L116" s="47"/>
      <c r="M116" s="47">
        <v>8</v>
      </c>
      <c r="N116" s="47"/>
      <c r="O116" s="47"/>
      <c r="P116" s="47"/>
      <c r="Q116" s="50"/>
      <c r="R116" s="47"/>
    </row>
    <row r="117" spans="1:18" ht="12.75" customHeight="1">
      <c r="A117" s="203"/>
      <c r="B117" s="47" t="s">
        <v>203</v>
      </c>
      <c r="C117" s="48" t="s">
        <v>57</v>
      </c>
      <c r="D117" s="47" t="s">
        <v>18</v>
      </c>
      <c r="E117" s="52">
        <f>G117*I117*0.001</f>
        <v>5.952</v>
      </c>
      <c r="F117" s="52">
        <f>H117*I117*0.001</f>
        <v>4.4640000000000004</v>
      </c>
      <c r="G117" s="50">
        <v>1280</v>
      </c>
      <c r="H117" s="50">
        <v>960</v>
      </c>
      <c r="I117" s="47">
        <v>4.6500000000000004</v>
      </c>
      <c r="J117" s="49">
        <f t="shared" si="25"/>
        <v>1.2287999999999999</v>
      </c>
      <c r="K117" s="47">
        <v>15</v>
      </c>
      <c r="L117" s="47"/>
      <c r="M117" s="47">
        <v>8</v>
      </c>
      <c r="N117" s="47"/>
      <c r="O117" s="47"/>
      <c r="P117" s="47"/>
      <c r="Q117" s="50"/>
      <c r="R117" s="47"/>
    </row>
    <row r="118" spans="1:18" ht="12.75" customHeight="1">
      <c r="A118" s="203"/>
      <c r="B118" s="47" t="s">
        <v>204</v>
      </c>
      <c r="C118" s="48" t="s">
        <v>51</v>
      </c>
      <c r="D118" s="47" t="s">
        <v>18</v>
      </c>
      <c r="E118" s="52">
        <f>G118*I118*0.001</f>
        <v>7.0400000000000009</v>
      </c>
      <c r="F118" s="52">
        <f>H118*I118*0.001</f>
        <v>5.28</v>
      </c>
      <c r="G118" s="50">
        <v>1600</v>
      </c>
      <c r="H118" s="50">
        <v>1200</v>
      </c>
      <c r="I118" s="47">
        <v>4.4000000000000004</v>
      </c>
      <c r="J118" s="49">
        <f t="shared" si="25"/>
        <v>1.92</v>
      </c>
      <c r="K118" s="47">
        <v>12</v>
      </c>
      <c r="L118" s="47"/>
      <c r="M118" s="47">
        <v>8</v>
      </c>
      <c r="N118" s="47"/>
      <c r="O118" s="47"/>
      <c r="P118" s="47"/>
      <c r="Q118" s="50"/>
      <c r="R118" s="47"/>
    </row>
    <row r="119" spans="1:18" ht="12.75" customHeight="1">
      <c r="A119" s="204" t="s">
        <v>479</v>
      </c>
      <c r="B119" s="133" t="s">
        <v>481</v>
      </c>
      <c r="C119" s="151" t="s">
        <v>488</v>
      </c>
      <c r="D119" s="133" t="s">
        <v>208</v>
      </c>
      <c r="E119" s="152">
        <f t="shared" ref="E119:E123" si="26">G119*$I119/1000</f>
        <v>4.8</v>
      </c>
      <c r="F119" s="152">
        <f t="shared" ref="F119:F123" si="27">H119*$I119/1000</f>
        <v>3.6</v>
      </c>
      <c r="G119" s="153">
        <v>1280</v>
      </c>
      <c r="H119" s="153">
        <v>960</v>
      </c>
      <c r="I119" s="133">
        <v>3.75</v>
      </c>
      <c r="J119" s="154">
        <f t="shared" ref="J119:J127" si="28">0.000001*G119*H119</f>
        <v>1.2287999999999999</v>
      </c>
      <c r="K119" s="133">
        <v>35</v>
      </c>
      <c r="L119" s="133"/>
      <c r="M119" s="133">
        <v>12</v>
      </c>
      <c r="N119" s="133"/>
      <c r="O119" s="133"/>
      <c r="P119" s="133"/>
      <c r="Q119" s="153"/>
      <c r="R119" s="133"/>
    </row>
    <row r="120" spans="1:18" ht="12.75" customHeight="1">
      <c r="A120" s="204"/>
      <c r="B120" s="133" t="s">
        <v>486</v>
      </c>
      <c r="C120" s="151" t="s">
        <v>492</v>
      </c>
      <c r="D120" s="133" t="s">
        <v>208</v>
      </c>
      <c r="E120" s="152">
        <f t="shared" si="26"/>
        <v>11.34496</v>
      </c>
      <c r="F120" s="152">
        <f t="shared" si="27"/>
        <v>7.1257600000000005</v>
      </c>
      <c r="G120" s="153">
        <v>1936</v>
      </c>
      <c r="H120" s="153">
        <v>1216</v>
      </c>
      <c r="I120" s="133">
        <v>5.86</v>
      </c>
      <c r="J120" s="154">
        <f t="shared" si="28"/>
        <v>2.3541759999999998</v>
      </c>
      <c r="K120" s="133">
        <v>128</v>
      </c>
      <c r="L120" s="133"/>
      <c r="M120" s="133">
        <v>12</v>
      </c>
      <c r="N120" s="133"/>
      <c r="O120" s="133"/>
      <c r="P120" s="133"/>
      <c r="Q120" s="153"/>
      <c r="R120" s="62"/>
    </row>
    <row r="121" spans="1:18" ht="12.75" customHeight="1">
      <c r="A121" s="204"/>
      <c r="B121" s="133" t="s">
        <v>480</v>
      </c>
      <c r="C121" s="151" t="s">
        <v>490</v>
      </c>
      <c r="D121" s="133" t="s">
        <v>208</v>
      </c>
      <c r="E121" s="152">
        <f t="shared" si="26"/>
        <v>7.4303999999999997</v>
      </c>
      <c r="F121" s="152">
        <f t="shared" si="27"/>
        <v>4.992</v>
      </c>
      <c r="G121" s="153">
        <v>3096</v>
      </c>
      <c r="H121" s="153">
        <v>2080</v>
      </c>
      <c r="I121" s="133">
        <v>2.4</v>
      </c>
      <c r="J121" s="154">
        <f t="shared" si="28"/>
        <v>6.4396799999999992</v>
      </c>
      <c r="K121" s="133"/>
      <c r="L121" s="133"/>
      <c r="M121" s="133">
        <v>14</v>
      </c>
      <c r="N121" s="133"/>
      <c r="O121" s="133"/>
      <c r="P121" s="133"/>
      <c r="Q121" s="153"/>
      <c r="R121" s="62" t="s">
        <v>489</v>
      </c>
    </row>
    <row r="122" spans="1:18" ht="12.75" customHeight="1">
      <c r="A122" s="204"/>
      <c r="B122" s="133" t="s">
        <v>487</v>
      </c>
      <c r="C122" s="151" t="s">
        <v>493</v>
      </c>
      <c r="D122" s="133" t="s">
        <v>208</v>
      </c>
      <c r="E122" s="152">
        <f t="shared" si="26"/>
        <v>7.29</v>
      </c>
      <c r="F122" s="152">
        <f t="shared" si="27"/>
        <v>4.59</v>
      </c>
      <c r="G122" s="153">
        <v>1944</v>
      </c>
      <c r="H122" s="153">
        <v>1224</v>
      </c>
      <c r="I122" s="133">
        <v>3.75</v>
      </c>
      <c r="J122" s="154">
        <f t="shared" si="28"/>
        <v>2.3794559999999998</v>
      </c>
      <c r="K122" s="133">
        <v>54</v>
      </c>
      <c r="L122" s="133"/>
      <c r="M122" s="133">
        <v>12</v>
      </c>
      <c r="N122" s="133"/>
      <c r="O122" s="133"/>
      <c r="P122" s="133"/>
      <c r="Q122" s="153"/>
      <c r="R122" s="133"/>
    </row>
    <row r="123" spans="1:18" ht="12.75" customHeight="1">
      <c r="A123" s="204"/>
      <c r="B123" s="133" t="s">
        <v>482</v>
      </c>
      <c r="C123" s="151" t="s">
        <v>491</v>
      </c>
      <c r="D123" s="133" t="s">
        <v>208</v>
      </c>
      <c r="E123" s="152">
        <f t="shared" si="26"/>
        <v>4.8899999999999997</v>
      </c>
      <c r="F123" s="152">
        <f t="shared" si="27"/>
        <v>3.66</v>
      </c>
      <c r="G123" s="153">
        <v>1304</v>
      </c>
      <c r="H123" s="153">
        <v>976</v>
      </c>
      <c r="I123" s="133">
        <v>3.75</v>
      </c>
      <c r="J123" s="154">
        <f t="shared" si="28"/>
        <v>1.2727040000000001</v>
      </c>
      <c r="K123" s="133">
        <v>64</v>
      </c>
      <c r="L123" s="133"/>
      <c r="M123" s="133">
        <v>12</v>
      </c>
      <c r="N123" s="133"/>
      <c r="O123" s="133"/>
      <c r="P123" s="133"/>
      <c r="Q123" s="153"/>
      <c r="R123" s="62"/>
    </row>
    <row r="124" spans="1:18" ht="12.75" customHeight="1">
      <c r="A124" s="204"/>
      <c r="B124" s="133" t="s">
        <v>513</v>
      </c>
      <c r="C124" s="151" t="s">
        <v>509</v>
      </c>
      <c r="D124" s="133" t="s">
        <v>208</v>
      </c>
      <c r="E124" s="152">
        <f t="shared" ref="E124" si="29">G124*$I124/1000</f>
        <v>5.6143999999999998</v>
      </c>
      <c r="F124" s="152">
        <f t="shared" ref="F124" si="30">H124*$I124/1000</f>
        <v>3.1783999999999999</v>
      </c>
      <c r="G124" s="153">
        <v>1936</v>
      </c>
      <c r="H124" s="153">
        <v>1096</v>
      </c>
      <c r="I124" s="133">
        <v>2.9</v>
      </c>
      <c r="J124" s="154">
        <f t="shared" ref="J124" si="31">0.000001*G124*H124</f>
        <v>2.1218560000000002</v>
      </c>
      <c r="K124" s="133">
        <v>170</v>
      </c>
      <c r="L124" s="133"/>
      <c r="M124" s="133">
        <v>12</v>
      </c>
      <c r="N124" s="133" t="s">
        <v>515</v>
      </c>
      <c r="O124" s="133"/>
      <c r="P124" s="133"/>
      <c r="Q124" s="153" t="s">
        <v>514</v>
      </c>
      <c r="R124" s="62" t="s">
        <v>384</v>
      </c>
    </row>
    <row r="125" spans="1:18" ht="12.75" customHeight="1">
      <c r="A125" s="204"/>
      <c r="B125" s="133" t="s">
        <v>524</v>
      </c>
      <c r="C125" s="151" t="s">
        <v>517</v>
      </c>
      <c r="D125" s="133" t="s">
        <v>208</v>
      </c>
      <c r="E125" s="152">
        <f>Tableau8[[#This Row],[Largeur (pixels)]]*Tableau8[[#This Row],[Photosites (µm)]]/1000</f>
        <v>23.731200000000001</v>
      </c>
      <c r="F125" s="152">
        <f>Tableau8[[#This Row],[Hauteur (pixels)]]*Tableau8[[#This Row],[Photosites (µm)]]/1000</f>
        <v>15.763199999999999</v>
      </c>
      <c r="G125" s="153">
        <v>4944</v>
      </c>
      <c r="H125" s="153">
        <v>3284</v>
      </c>
      <c r="I125" s="133">
        <v>4.8</v>
      </c>
      <c r="J125" s="154">
        <f>0.000001*G125*H125</f>
        <v>16.236096</v>
      </c>
      <c r="K125" s="133">
        <v>10</v>
      </c>
      <c r="L125" s="133"/>
      <c r="M125" s="133">
        <v>14</v>
      </c>
      <c r="N125" s="133" t="s">
        <v>518</v>
      </c>
      <c r="O125" s="133"/>
      <c r="P125" s="133"/>
      <c r="Q125" s="153" t="s">
        <v>519</v>
      </c>
      <c r="R125" s="62" t="s">
        <v>520</v>
      </c>
    </row>
    <row r="126" spans="1:18" ht="12.75" customHeight="1">
      <c r="A126" s="204"/>
      <c r="B126" s="133" t="s">
        <v>483</v>
      </c>
      <c r="C126" s="151"/>
      <c r="D126" s="133" t="s">
        <v>208</v>
      </c>
      <c r="E126" s="152">
        <f t="shared" ref="E126:E127" si="32">G126*$I126/1000</f>
        <v>17.692799999999998</v>
      </c>
      <c r="F126" s="152">
        <f t="shared" ref="F126:F127" si="33">H126*$I126/1000</f>
        <v>13.375999999999999</v>
      </c>
      <c r="G126" s="153">
        <v>4656</v>
      </c>
      <c r="H126" s="153">
        <v>3520</v>
      </c>
      <c r="I126" s="133">
        <v>3.8</v>
      </c>
      <c r="J126" s="154">
        <f t="shared" ref="J126:J127" si="34">0.000001*G126*H126</f>
        <v>16.389119999999998</v>
      </c>
      <c r="K126" s="133">
        <v>23</v>
      </c>
      <c r="L126" s="133"/>
      <c r="M126" s="133">
        <v>12</v>
      </c>
      <c r="N126" s="133" t="s">
        <v>484</v>
      </c>
      <c r="O126" s="133"/>
      <c r="P126" s="133"/>
      <c r="Q126" s="153" t="s">
        <v>485</v>
      </c>
      <c r="R126" s="62" t="s">
        <v>27</v>
      </c>
    </row>
    <row r="127" spans="1:18" ht="12.75" customHeight="1">
      <c r="A127" s="204"/>
      <c r="B127" s="133" t="s">
        <v>525</v>
      </c>
      <c r="C127" s="151"/>
      <c r="D127" s="133" t="s">
        <v>208</v>
      </c>
      <c r="E127" s="152">
        <f t="shared" si="32"/>
        <v>17.692799999999998</v>
      </c>
      <c r="F127" s="152">
        <f t="shared" si="33"/>
        <v>13.375999999999999</v>
      </c>
      <c r="G127" s="153">
        <v>4656</v>
      </c>
      <c r="H127" s="153">
        <v>3520</v>
      </c>
      <c r="I127" s="133">
        <v>3.8</v>
      </c>
      <c r="J127" s="154">
        <f t="shared" si="34"/>
        <v>16.389119999999998</v>
      </c>
      <c r="K127" s="133">
        <v>23</v>
      </c>
      <c r="L127" s="133"/>
      <c r="M127" s="133">
        <v>12</v>
      </c>
      <c r="N127" s="133" t="s">
        <v>484</v>
      </c>
      <c r="O127" s="133"/>
      <c r="P127" s="133"/>
      <c r="Q127" s="153" t="s">
        <v>485</v>
      </c>
      <c r="R127" s="62" t="s">
        <v>27</v>
      </c>
    </row>
    <row r="128" spans="1:18" ht="12.75" customHeight="1">
      <c r="A128" s="205"/>
      <c r="B128" s="133"/>
      <c r="C128" s="151"/>
      <c r="D128" s="133"/>
      <c r="E128" s="152"/>
      <c r="F128" s="152"/>
      <c r="G128" s="153"/>
      <c r="H128" s="153"/>
      <c r="I128" s="133"/>
      <c r="J128" s="154"/>
      <c r="K128" s="133"/>
      <c r="L128" s="133"/>
      <c r="M128" s="133"/>
      <c r="N128" s="133"/>
      <c r="O128" s="133"/>
      <c r="P128" s="133"/>
      <c r="Q128" s="153"/>
      <c r="R128" s="62"/>
    </row>
    <row r="129" spans="1:18">
      <c r="A129" s="5" t="s">
        <v>205</v>
      </c>
      <c r="B129" s="132" t="s">
        <v>206</v>
      </c>
      <c r="C129" s="48" t="s">
        <v>207</v>
      </c>
      <c r="D129" s="47" t="s">
        <v>208</v>
      </c>
      <c r="E129" s="52">
        <f>G129*I129*0.001</f>
        <v>6.6560000000000006</v>
      </c>
      <c r="F129" s="52">
        <f>H129*I129*0.001</f>
        <v>5.3248000000000006</v>
      </c>
      <c r="G129" s="50">
        <v>1280</v>
      </c>
      <c r="H129" s="47">
        <v>1024</v>
      </c>
      <c r="I129" s="47">
        <v>5.2</v>
      </c>
      <c r="J129" s="49">
        <f t="shared" si="25"/>
        <v>1.3107199999999999</v>
      </c>
      <c r="K129" s="47">
        <v>15</v>
      </c>
      <c r="L129" s="47"/>
      <c r="M129" s="47">
        <v>8</v>
      </c>
      <c r="N129" s="47"/>
      <c r="O129" s="47"/>
      <c r="P129" s="47"/>
      <c r="Q129" s="50"/>
      <c r="R129" s="47"/>
    </row>
    <row r="130" spans="1:18">
      <c r="A130" s="1" t="s">
        <v>464</v>
      </c>
      <c r="B130" s="146" t="s">
        <v>465</v>
      </c>
      <c r="C130" s="147"/>
      <c r="D130" s="148" t="s">
        <v>470</v>
      </c>
      <c r="E130" s="55">
        <f>'Champ - Echantillonnage'!E25</f>
        <v>36</v>
      </c>
      <c r="F130" s="55">
        <f>'Champ - Echantillonnage'!F25</f>
        <v>24</v>
      </c>
      <c r="G130" s="149">
        <f>ROUND(E130*1000/I130,0)</f>
        <v>9600</v>
      </c>
      <c r="H130" s="150">
        <f>ROUND(F130*1000/I130,0)</f>
        <v>6400</v>
      </c>
      <c r="I130" s="149">
        <f>'Champ - Echantillonnage'!G25</f>
        <v>3.75</v>
      </c>
      <c r="J130" s="57">
        <f t="shared" si="25"/>
        <v>61.44</v>
      </c>
      <c r="K130" s="147"/>
      <c r="L130" s="147"/>
      <c r="M130" s="147"/>
      <c r="N130" s="147"/>
      <c r="O130" s="147"/>
      <c r="P130" s="147"/>
      <c r="Q130" s="147"/>
      <c r="R130" s="147"/>
    </row>
    <row r="131" spans="1:18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>
      <c r="A132" s="25" t="s">
        <v>329</v>
      </c>
    </row>
    <row r="133" spans="1:18">
      <c r="A133" s="1" t="s">
        <v>15</v>
      </c>
    </row>
    <row r="134" spans="1:18">
      <c r="A134" s="1" t="s">
        <v>42</v>
      </c>
    </row>
    <row r="135" spans="1:18">
      <c r="A135" s="1" t="s">
        <v>300</v>
      </c>
    </row>
    <row r="136" spans="1:18">
      <c r="A136" s="1" t="s">
        <v>476</v>
      </c>
    </row>
    <row r="137" spans="1:18">
      <c r="A137" s="1" t="s">
        <v>53</v>
      </c>
    </row>
    <row r="138" spans="1:18">
      <c r="A138" s="1" t="s">
        <v>334</v>
      </c>
    </row>
    <row r="139" spans="1:18">
      <c r="A139" s="1" t="s">
        <v>494</v>
      </c>
    </row>
    <row r="140" spans="1:18">
      <c r="A140" s="1" t="s">
        <v>59</v>
      </c>
    </row>
    <row r="141" spans="1:18">
      <c r="A141" s="1" t="s">
        <v>86</v>
      </c>
    </row>
    <row r="142" spans="1:18">
      <c r="A142" s="1" t="s">
        <v>144</v>
      </c>
    </row>
    <row r="143" spans="1:18">
      <c r="A143" s="1" t="s">
        <v>458</v>
      </c>
    </row>
    <row r="144" spans="1:18">
      <c r="A144" s="1" t="s">
        <v>378</v>
      </c>
    </row>
    <row r="145" spans="1:1">
      <c r="A145" s="1" t="s">
        <v>459</v>
      </c>
    </row>
    <row r="146" spans="1:1">
      <c r="A146" s="1" t="s">
        <v>479</v>
      </c>
    </row>
    <row r="147" spans="1:1">
      <c r="A147" s="1" t="s">
        <v>205</v>
      </c>
    </row>
    <row r="148" spans="1:1">
      <c r="A148" s="1" t="s">
        <v>468</v>
      </c>
    </row>
  </sheetData>
  <mergeCells count="14">
    <mergeCell ref="A119:A127"/>
    <mergeCell ref="A70:A78"/>
    <mergeCell ref="A47:A69"/>
    <mergeCell ref="A115:A118"/>
    <mergeCell ref="A79:A84"/>
    <mergeCell ref="A85:A99"/>
    <mergeCell ref="A100:A105"/>
    <mergeCell ref="A108:A114"/>
    <mergeCell ref="A106:A107"/>
    <mergeCell ref="A2:A11"/>
    <mergeCell ref="A12:A14"/>
    <mergeCell ref="A15:A41"/>
    <mergeCell ref="A44:A46"/>
    <mergeCell ref="A42:A43"/>
  </mergeCells>
  <phoneticPr fontId="2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Champ - Echantillonnage</vt:lpstr>
      <vt:lpstr>Tubes optiques</vt:lpstr>
      <vt:lpstr>Caméras</vt:lpstr>
      <vt:lpstr>ASA</vt:lpstr>
      <vt:lpstr>Astro_Tech</vt:lpstr>
      <vt:lpstr>Astrophysics</vt:lpstr>
      <vt:lpstr>ATIK</vt:lpstr>
      <vt:lpstr>Autre_Imageur</vt:lpstr>
      <vt:lpstr>Autre_Optique</vt:lpstr>
      <vt:lpstr>Basler</vt:lpstr>
      <vt:lpstr>Canon</vt:lpstr>
      <vt:lpstr>Canon_Objectifs</vt:lpstr>
      <vt:lpstr>Celestron</vt:lpstr>
      <vt:lpstr>Divers</vt:lpstr>
      <vt:lpstr>GSO</vt:lpstr>
      <vt:lpstr>iNova</vt:lpstr>
      <vt:lpstr>Lumenera</vt:lpstr>
      <vt:lpstr>Marques_Caméras</vt:lpstr>
      <vt:lpstr>Marques_OTA</vt:lpstr>
      <vt:lpstr>Meade</vt:lpstr>
      <vt:lpstr>Nikon</vt:lpstr>
      <vt:lpstr>Nova_CCD</vt:lpstr>
      <vt:lpstr>Officina_Stellare</vt:lpstr>
      <vt:lpstr>Orion</vt:lpstr>
      <vt:lpstr>QHY_CCD</vt:lpstr>
      <vt:lpstr>QSI</vt:lpstr>
      <vt:lpstr>SBIG</vt:lpstr>
      <vt:lpstr>Sony</vt:lpstr>
      <vt:lpstr>Starlight_Xpress</vt:lpstr>
      <vt:lpstr>Takahashi</vt:lpstr>
      <vt:lpstr>TEC</vt:lpstr>
      <vt:lpstr>Televue</vt:lpstr>
      <vt:lpstr>The_Imaging_Source</vt:lpstr>
      <vt:lpstr>TMB</vt:lpstr>
      <vt:lpstr>Vixen</vt:lpstr>
      <vt:lpstr>William_Optics</vt:lpstr>
      <vt:lpstr>ZWO</vt:lpstr>
      <vt:lpstr>λ</vt:lpstr>
    </vt:vector>
  </TitlesOfParts>
  <Company>lanonplus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yenapas</dc:creator>
  <cp:lastModifiedBy>axel</cp:lastModifiedBy>
  <dcterms:created xsi:type="dcterms:W3CDTF">2011-05-19T09:09:54Z</dcterms:created>
  <dcterms:modified xsi:type="dcterms:W3CDTF">2017-05-29T09:21:30Z</dcterms:modified>
</cp:coreProperties>
</file>